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965" firstSheet="2" activeTab="3"/>
  </bookViews>
  <sheets>
    <sheet name="Собівартість" sheetId="1" state="hidden" r:id="rId1"/>
    <sheet name="Структура собівартості" sheetId="2" state="hidden" r:id="rId2"/>
    <sheet name="Тариф на теплову енергію Д.1" sheetId="3" r:id="rId3"/>
    <sheet name="Тариф для населення Д.2" sheetId="4" r:id="rId4"/>
    <sheet name="Плата за абонент. обслуг. Д.3" sheetId="5" r:id="rId5"/>
    <sheet name="Граничний розмір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_xlnm.Print_Area" localSheetId="4">'Плата за абонент. обслуг. Д.3'!$A$1:$D$24</definedName>
    <definedName name="_xlnm.Print_Area" localSheetId="2">'Тариф на теплову енергію Д.1'!$A$1:$J$53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I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 1-го липня 2020 року</t>
        </r>
      </text>
    </comment>
  </commentList>
</comments>
</file>

<file path=xl/sharedStrings.xml><?xml version="1.0" encoding="utf-8"?>
<sst xmlns="http://schemas.openxmlformats.org/spreadsheetml/2006/main" count="335" uniqueCount="254">
  <si>
    <t>Статті витрат</t>
  </si>
  <si>
    <t>Виробництво теплової енергії</t>
  </si>
  <si>
    <t>Транспортування теплової енергії</t>
  </si>
  <si>
    <t>Постачання теплової енергії</t>
  </si>
  <si>
    <t>Прямі витрати</t>
  </si>
  <si>
    <t>Загальновиробничі витрати</t>
  </si>
  <si>
    <t>Адміністративні витрати</t>
  </si>
  <si>
    <t>Всього витрат</t>
  </si>
  <si>
    <t>Транспортування природного газу магістральними трубопроводами</t>
  </si>
  <si>
    <t>Витрати на оплату праці</t>
  </si>
  <si>
    <t>Амортизаційні відрахування</t>
  </si>
  <si>
    <t>Паливно-мастильні матеріали</t>
  </si>
  <si>
    <t>Оренда основних засобів</t>
  </si>
  <si>
    <t>Профілактичний медичний, психіатричний та наркологічний огляд</t>
  </si>
  <si>
    <t>Охорона майна</t>
  </si>
  <si>
    <t>Обслуговування програмного забезпечення</t>
  </si>
  <si>
    <t>Одержання спеціалізованої гідрометеорологічної продукції</t>
  </si>
  <si>
    <t>Технічне обслуговування РРО</t>
  </si>
  <si>
    <t>Послуги юридичного характеру</t>
  </si>
  <si>
    <t>Передплата періодичних видань</t>
  </si>
  <si>
    <t>Послуги зв'язку та інтернет</t>
  </si>
  <si>
    <t>Обслуговування оргтехніки</t>
  </si>
  <si>
    <t>Послуги банків</t>
  </si>
  <si>
    <t>Опалення адміністративної будівлі</t>
  </si>
  <si>
    <t>Навчання з питань охорони праці</t>
  </si>
  <si>
    <t>Технічне опосвідчення вогнегасників</t>
  </si>
  <si>
    <t>Технічне опосвідчення та діагностика технічного стану котлів</t>
  </si>
  <si>
    <t>Сіль</t>
  </si>
  <si>
    <t>ВСЬОГО</t>
  </si>
  <si>
    <t>Режимно налагоджувальні, еколого-теплотехнічні випробування котлів</t>
  </si>
  <si>
    <t>Сезонна наладка автоматики безпеки котлів та газорегулюючих установок</t>
  </si>
  <si>
    <t>Технічне обслуговування газового господарства</t>
  </si>
  <si>
    <t>Рентна плата за спеціальне використання підземних вод</t>
  </si>
  <si>
    <t>населення</t>
  </si>
  <si>
    <t>бюджет</t>
  </si>
  <si>
    <t>Податок за викиди в атмосферне повітря забруднюючих речовин стаціонарними джерелами</t>
  </si>
  <si>
    <t>Всього</t>
  </si>
  <si>
    <t>х</t>
  </si>
  <si>
    <t>Інші операційні витрати</t>
  </si>
  <si>
    <t>грн/Гкал</t>
  </si>
  <si>
    <t>Без ПДВ</t>
  </si>
  <si>
    <t xml:space="preserve">№ з/п </t>
  </si>
  <si>
    <t xml:space="preserve">Найменування показників </t>
  </si>
  <si>
    <t>тис. 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</si>
  <si>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</si>
  <si>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</si>
  <si>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</si>
  <si>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</si>
  <si>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</si>
  <si>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</si>
  <si>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</si>
  <si>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</si>
  <si>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</si>
  <si>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</si>
  <si>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</si>
  <si>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</si>
  <si>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</si>
  <si>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 xml:space="preserve">вода для технологічних потреб та водовідведення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</si>
  <si>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</si>
  <si>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</si>
  <si>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</si>
  <si>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амортизаційні відрахування </t>
  </si>
  <si>
    <t xml:space="preserve">інші прямі витрати </t>
  </si>
  <si>
    <t>1.4</t>
  </si>
  <si>
    <t xml:space="preserve">загальновиробничі витрати, у т. ч.: </t>
  </si>
  <si>
    <t xml:space="preserve">витрати на оплату праці з відрахуваннями на соціальні заходи 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</si>
  <si>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</si>
  <si>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</si>
  <si>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</si>
  <si>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</si>
  <si>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</si>
  <si>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 xml:space="preserve">Фінансові витрати </t>
  </si>
  <si>
    <t>Повна собівартість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</si>
  <si>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</si>
  <si>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</si>
  <si>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>Рівень рентабельності, %</t>
  </si>
  <si>
    <t xml:space="preserve">Повна собівартість </t>
  </si>
  <si>
    <t xml:space="preserve">матеріали та інші матеріальні ресурси </t>
  </si>
  <si>
    <t>1.5.1</t>
  </si>
  <si>
    <t>1.5.2</t>
  </si>
  <si>
    <t>Розрахунковий прибуток</t>
  </si>
  <si>
    <t>1.5.</t>
  </si>
  <si>
    <t>№ з/п</t>
  </si>
  <si>
    <t>Назва показника</t>
  </si>
  <si>
    <r>
      <t>грн/м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на рік</t>
    </r>
  </si>
  <si>
    <t>Податок на додану вартість</t>
  </si>
  <si>
    <t>Витрати на утримання абонентської служби, у т. ч.:</t>
  </si>
  <si>
    <t>Тарифи на теплову енергію з ПДВ, грн/Гкал</t>
  </si>
  <si>
    <t>Заступник директора з економіки</t>
  </si>
  <si>
    <t>Інкасація готівкових коштів</t>
  </si>
  <si>
    <t>Канцтовари</t>
  </si>
  <si>
    <t>Постачання природного газу</t>
  </si>
  <si>
    <t>Витрати на газ:</t>
  </si>
  <si>
    <t>Електроенергія на технологічні потреби</t>
  </si>
  <si>
    <t>Водопрстачання та водовідведення</t>
  </si>
  <si>
    <t>3</t>
  </si>
  <si>
    <t>4</t>
  </si>
  <si>
    <t>4.1</t>
  </si>
  <si>
    <t>4.2</t>
  </si>
  <si>
    <t>4.3</t>
  </si>
  <si>
    <t>4.4</t>
  </si>
  <si>
    <t>5</t>
  </si>
  <si>
    <t>Витрати на оплату праці з відрахуванням на соціальні заходи:</t>
  </si>
  <si>
    <t>Послуги виробничого характеру:</t>
  </si>
  <si>
    <t>6.1</t>
  </si>
  <si>
    <t>6.2</t>
  </si>
  <si>
    <t>Інші витрати</t>
  </si>
  <si>
    <t>Страхування транстортних засобів</t>
  </si>
  <si>
    <t>Повірка приладів обліку</t>
  </si>
  <si>
    <t xml:space="preserve">Перевірка та прочищення димових та вентиляційних каналів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</si>
  <si>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</si>
  <si>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</si>
  <si>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</si>
  <si>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</si>
  <si>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</si>
  <si>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</si>
  <si>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</si>
  <si>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</si>
  <si>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</si>
  <si>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</si>
  <si>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</si>
  <si>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</si>
  <si>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</si>
  <si>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</si>
  <si>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</si>
  <si>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</si>
  <si>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</si>
  <si>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</si>
  <si>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</si>
  <si>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</si>
  <si>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</si>
  <si>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</si>
  <si>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</si>
  <si>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</si>
  <si>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</si>
  <si>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Технічне обслуговування пристроїв дистанційної передачі даних газу</t>
  </si>
  <si>
    <t>Профілактичні вимірювання електрообладнання</t>
  </si>
  <si>
    <t>Технічне обслуговування газопроводів</t>
  </si>
  <si>
    <t>№
п/п</t>
  </si>
  <si>
    <t>Найменування показників</t>
  </si>
  <si>
    <t>Усього,
грн.</t>
  </si>
  <si>
    <t>сума
на
1
Гкал,
грн.</t>
  </si>
  <si>
    <t>в тому числі</t>
  </si>
  <si>
    <t>інші
споживачі</t>
  </si>
  <si>
    <t>сума
усього,
грн.</t>
  </si>
  <si>
    <t xml:space="preserve">Розподіл природного газу </t>
  </si>
  <si>
    <t>Транспортування природного газу мережами</t>
  </si>
  <si>
    <t>2.3</t>
  </si>
  <si>
    <t>Матеріали на експлуатацію</t>
  </si>
  <si>
    <t>2.4</t>
  </si>
  <si>
    <t>2.5</t>
  </si>
  <si>
    <t>2.6</t>
  </si>
  <si>
    <t>2.7</t>
  </si>
  <si>
    <t>Оплата праці</t>
  </si>
  <si>
    <t>2.8</t>
  </si>
  <si>
    <t>Внески на обов'язкове соціальне страхування</t>
  </si>
  <si>
    <t>Послуги виробничого характеру</t>
  </si>
  <si>
    <t>Всього по розділу 2</t>
  </si>
  <si>
    <t>3.</t>
  </si>
  <si>
    <t>4.</t>
  </si>
  <si>
    <t>Реалізація теплової енергії (Гкал)</t>
  </si>
  <si>
    <t>Структура собівартості теплової енергії</t>
  </si>
  <si>
    <t>І.М. Глущенко</t>
  </si>
  <si>
    <t>Матеріальні витрати:</t>
  </si>
  <si>
    <t>Електроенергія на технологічні потреби:</t>
  </si>
  <si>
    <t>Активна електроенергія</t>
  </si>
  <si>
    <t>Реактивна електроенергія</t>
  </si>
  <si>
    <t>Послуга з розподілу природного газу</t>
  </si>
  <si>
    <t>Послуга з розподілу електричної енергії</t>
  </si>
  <si>
    <t>Охорона праці (аптечки, мило)</t>
  </si>
  <si>
    <t>Спецодяг та взуття</t>
  </si>
  <si>
    <t>Податки та обов'язкові платежі:</t>
  </si>
  <si>
    <t>Інші витрати:</t>
  </si>
  <si>
    <t>Водопостачання та водовідведення:</t>
  </si>
  <si>
    <t>Водопостачання</t>
  </si>
  <si>
    <t>Водовідведення</t>
  </si>
  <si>
    <t>Відрахування на соціальні заходи (22%)</t>
  </si>
  <si>
    <t>Послуги з питань інформатизації ("M.E.Doc")</t>
  </si>
  <si>
    <t>2.9</t>
  </si>
  <si>
    <t>Податки та обов'зкові платежі</t>
  </si>
  <si>
    <t>Планові витрати (всього)</t>
  </si>
  <si>
    <t>питома вага, %</t>
  </si>
  <si>
    <t>Всього по розділу 1 (витрати на паливо)</t>
  </si>
  <si>
    <t>Всього витрат на теплову енергію</t>
  </si>
  <si>
    <t>Витрати на абонентське обслуговування</t>
  </si>
  <si>
    <t>грн/рік</t>
  </si>
  <si>
    <t>1.1.</t>
  </si>
  <si>
    <t>1.2.</t>
  </si>
  <si>
    <t>1.3.</t>
  </si>
  <si>
    <t>1.4.</t>
  </si>
  <si>
    <t>витрати на оплату праці</t>
  </si>
  <si>
    <t>канцтовари</t>
  </si>
  <si>
    <t>технічне обслуговування РРО</t>
  </si>
  <si>
    <t>послуги банків</t>
  </si>
  <si>
    <t>інкасація готівкових коштів</t>
  </si>
  <si>
    <t>обслуговування програмного забезпечення</t>
  </si>
  <si>
    <t>обслуговування оргтехніки</t>
  </si>
  <si>
    <t>1.6.</t>
  </si>
  <si>
    <t>1.7.</t>
  </si>
  <si>
    <t>1.8.</t>
  </si>
  <si>
    <t>1.9.</t>
  </si>
  <si>
    <t>Плата за абонентське обслуговування</t>
  </si>
  <si>
    <t>Плата за абонентське обслуговування з ПДВ</t>
  </si>
  <si>
    <t>Кількість абонентів</t>
  </si>
  <si>
    <r>
      <t>Питоме споживання теплової енергії для забезпечення послугою з постачання теплової енергії у житлових будинках без будинкових приладів обліку, Гкал/м2</t>
    </r>
    <r>
      <rPr>
        <sz val="12"/>
        <color indexed="8"/>
        <rFont val="Times New Roman"/>
        <family val="1"/>
      </rPr>
      <t> </t>
    </r>
    <r>
      <rPr>
        <sz val="14"/>
        <color indexed="8"/>
        <rFont val="Times New Roman"/>
        <family val="1"/>
      </rPr>
      <t>на рік</t>
    </r>
  </si>
  <si>
    <t xml:space="preserve"> для абонентів житлових будинків з будинковими  приладами обліку теплової енергії</t>
  </si>
  <si>
    <t xml:space="preserve"> для абонентів житлових будинків без будинкових приладів обліку теплової енергії</t>
  </si>
  <si>
    <t>Тарифи на теплову енергію з ПДВ</t>
  </si>
  <si>
    <t>Планова тривалість опалювального 
періоду, діб</t>
  </si>
  <si>
    <t>Планова тривалість опалювального 
періоду, місяців</t>
  </si>
  <si>
    <t>Плановий тариф на послугу з постачання теплової енергії, грн/м2 за місяць протягом опалювального періоду з ПДВ</t>
  </si>
  <si>
    <t>для потреб населення</t>
  </si>
  <si>
    <t>для потреб бюджетних установ</t>
  </si>
  <si>
    <t xml:space="preserve">для потреб інших споживачів </t>
  </si>
  <si>
    <t>грн/місяць</t>
  </si>
  <si>
    <t>Поштові витрати</t>
  </si>
  <si>
    <t>Структура тарифів на теплову енергію, її виробництво, транспортування та постачання</t>
  </si>
  <si>
    <t>Сумарні, середньозважені показники</t>
  </si>
  <si>
    <t>- 0,019 - для виконавців послуг з постачання теплової енергії та/або гарячої води, з централізованого водопостачання та/або централізованого водовідведення</t>
  </si>
  <si>
    <r>
      <t>РП</t>
    </r>
    <r>
      <rPr>
        <b/>
        <vertAlign val="subscript"/>
        <sz val="14"/>
        <color indexed="63"/>
        <rFont val="Times New Roman"/>
        <family val="1"/>
      </rPr>
      <t>грн</t>
    </r>
    <r>
      <rPr>
        <b/>
        <sz val="14"/>
        <color indexed="63"/>
        <rFont val="Times New Roman"/>
        <family val="1"/>
      </rPr>
      <t> = П</t>
    </r>
    <r>
      <rPr>
        <b/>
        <vertAlign val="subscript"/>
        <sz val="14"/>
        <color indexed="63"/>
        <rFont val="Times New Roman"/>
        <family val="1"/>
      </rPr>
      <t>мін</t>
    </r>
    <r>
      <rPr>
        <b/>
        <sz val="14"/>
        <color indexed="63"/>
        <rFont val="Times New Roman"/>
        <family val="1"/>
      </rPr>
      <t> × СД</t>
    </r>
    <r>
      <rPr>
        <b/>
        <vertAlign val="subscript"/>
        <sz val="14"/>
        <color indexed="63"/>
        <rFont val="Times New Roman"/>
        <family val="1"/>
      </rPr>
      <t>сер</t>
    </r>
    <r>
      <rPr>
        <b/>
        <sz val="14"/>
        <color indexed="63"/>
        <rFont val="Times New Roman"/>
        <family val="1"/>
      </rPr>
      <t> × К</t>
    </r>
    <r>
      <rPr>
        <b/>
        <vertAlign val="subscript"/>
        <sz val="14"/>
        <color indexed="63"/>
        <rFont val="Times New Roman"/>
        <family val="1"/>
      </rPr>
      <t>д</t>
    </r>
    <r>
      <rPr>
        <b/>
        <sz val="14"/>
        <color indexed="63"/>
        <rFont val="Times New Roman"/>
        <family val="1"/>
      </rPr>
      <t> × К</t>
    </r>
    <r>
      <rPr>
        <b/>
        <vertAlign val="subscript"/>
        <sz val="14"/>
        <color indexed="63"/>
        <rFont val="Times New Roman"/>
        <family val="1"/>
      </rPr>
      <t>жкп</t>
    </r>
    <r>
      <rPr>
        <b/>
        <sz val="14"/>
        <color indexed="63"/>
        <rFont val="Times New Roman"/>
        <family val="1"/>
      </rPr>
      <t> × К</t>
    </r>
  </si>
  <si>
    <t>Розрахунок граничного розміру плати за абонентське обслуговування на одного абонента для комунальних послуг, що надаються споживачам багатоквартирних будинків за індивідуальними договорами</t>
  </si>
  <si>
    <r>
      <rPr>
        <b/>
        <sz val="14"/>
        <color indexed="63"/>
        <rFont val="Times New Roman"/>
        <family val="1"/>
      </rPr>
      <t>РП</t>
    </r>
    <r>
      <rPr>
        <b/>
        <vertAlign val="subscript"/>
        <sz val="14"/>
        <color indexed="63"/>
        <rFont val="Times New Roman"/>
        <family val="1"/>
      </rPr>
      <t>грн</t>
    </r>
    <r>
      <rPr>
        <sz val="12"/>
        <color indexed="63"/>
        <rFont val="Times New Roman"/>
        <family val="1"/>
      </rPr>
      <t> - граничний розмір плати за абонентське обслуговування, гривень на місяць на одного абонента;</t>
    </r>
  </si>
  <si>
    <r>
      <rPr>
        <b/>
        <sz val="14"/>
        <color indexed="63"/>
        <rFont val="Times New Roman"/>
        <family val="1"/>
      </rPr>
      <t>П</t>
    </r>
    <r>
      <rPr>
        <b/>
        <vertAlign val="subscript"/>
        <sz val="14"/>
        <color indexed="63"/>
        <rFont val="Times New Roman"/>
        <family val="1"/>
      </rPr>
      <t>мін</t>
    </r>
    <r>
      <rPr>
        <sz val="12"/>
        <color indexed="63"/>
        <rFont val="Times New Roman"/>
        <family val="1"/>
      </rPr>
      <t> - законодавчо встановлений на відповідну дату розмір прожиткового мінімуму на одну особу в розрахунку на місяць, гривень;</t>
    </r>
  </si>
  <si>
    <r>
      <rPr>
        <b/>
        <sz val="12"/>
        <color indexed="63"/>
        <rFont val="Times New Roman"/>
        <family val="1"/>
      </rPr>
      <t>СД</t>
    </r>
    <r>
      <rPr>
        <b/>
        <vertAlign val="subscript"/>
        <sz val="8"/>
        <color indexed="63"/>
        <rFont val="Times New Roman"/>
        <family val="1"/>
      </rPr>
      <t>сер</t>
    </r>
    <r>
      <rPr>
        <sz val="12"/>
        <color indexed="63"/>
        <rFont val="Times New Roman"/>
        <family val="1"/>
      </rPr>
      <t> - середній кількісний склад домогосподарства, що становить 2,58 особи;</t>
    </r>
  </si>
  <si>
    <r>
      <rPr>
        <b/>
        <sz val="14"/>
        <color indexed="63"/>
        <rFont val="Times New Roman"/>
        <family val="1"/>
      </rPr>
      <t>К</t>
    </r>
    <r>
      <rPr>
        <b/>
        <vertAlign val="subscript"/>
        <sz val="14"/>
        <color indexed="63"/>
        <rFont val="Times New Roman"/>
        <family val="1"/>
      </rPr>
      <t>д</t>
    </r>
    <r>
      <rPr>
        <sz val="12"/>
        <color indexed="63"/>
        <rFont val="Times New Roman"/>
        <family val="1"/>
      </rPr>
      <t> - коефіцієнт дохідності домогосподарства для розрахунку плати за абонентське обслуговування, що становить два прожиткових мінімуми на одну особу в розрахунку на місяць;</t>
    </r>
  </si>
  <si>
    <r>
      <rPr>
        <b/>
        <sz val="14"/>
        <color indexed="63"/>
        <rFont val="Times New Roman"/>
        <family val="1"/>
      </rPr>
      <t>К</t>
    </r>
    <r>
      <rPr>
        <b/>
        <vertAlign val="subscript"/>
        <sz val="14"/>
        <color indexed="63"/>
        <rFont val="Calibri"/>
        <family val="2"/>
      </rPr>
      <t>жкп</t>
    </r>
    <r>
      <rPr>
        <sz val="11"/>
        <color indexed="63"/>
        <rFont val="Calibri"/>
        <family val="2"/>
      </rPr>
      <t> - коефіцієнт середнього по Україні розміру витрат домогосподарств на оплату житлово-комунальних послуг, що становить 0,15;</t>
    </r>
  </si>
  <si>
    <r>
      <rPr>
        <b/>
        <sz val="12"/>
        <color indexed="63"/>
        <rFont val="Times New Roman"/>
        <family val="1"/>
      </rPr>
      <t>К</t>
    </r>
    <r>
      <rPr>
        <sz val="12"/>
        <color indexed="63"/>
        <rFont val="Times New Roman"/>
        <family val="1"/>
      </rPr>
      <t xml:space="preserve"> - коефіцієнт відшкодування домогосподарством витрат, здійснених виконавцем комунальних послуг під час їх надання у багатоквартирних будинках за індивідуальними договорами та віднесених до плати за абонентське обслуговування, що становить:</t>
    </r>
  </si>
  <si>
    <t>Глущенко І.М.</t>
  </si>
  <si>
    <t>Планована собівартість теплової енергії ПП "Херсонтеплогенерація"</t>
  </si>
  <si>
    <t xml:space="preserve">Розрахунок виконано згідно ПКМУ від 21 серпня 2019 року №808 </t>
  </si>
  <si>
    <t xml:space="preserve">грн/місяці опалювального сезону </t>
  </si>
  <si>
    <t>Додаток 2</t>
  </si>
  <si>
    <t>Додаток 3</t>
  </si>
  <si>
    <t>Адміністрація ПП "Херсонтеплогенерація"</t>
  </si>
  <si>
    <t>відрахування на соціальні заходи</t>
  </si>
  <si>
    <t>Додаток 1</t>
  </si>
  <si>
    <t xml:space="preserve">витрати на паливо: </t>
  </si>
  <si>
    <t>постачання природного газу</t>
  </si>
  <si>
    <t>транспортування природного газу мережами</t>
  </si>
  <si>
    <t xml:space="preserve">розподіл природного газу </t>
  </si>
  <si>
    <t>активна електроенергія</t>
  </si>
  <si>
    <t>реактивна електроенергія</t>
  </si>
  <si>
    <t xml:space="preserve">послуга з розподілу електричної енергії </t>
  </si>
  <si>
    <t>водопостачання</t>
  </si>
  <si>
    <t>водовідведення</t>
  </si>
  <si>
    <t>Розрахунковий прибуток, у т.ч.</t>
  </si>
  <si>
    <t>кошти на здійснення заходів інвестиційної програми</t>
  </si>
  <si>
    <t>обігові кошти (4%)</t>
  </si>
  <si>
    <t>податок на прибуток (18%)</t>
  </si>
  <si>
    <t>приватного підприємства "Херсонтеплогенерація" на 2021-2022 опалювальний період</t>
  </si>
  <si>
    <t>водопостачання та водовідведення</t>
  </si>
  <si>
    <t>Структура тарифів на теплову енергію, її виробництво, транспортування та постачання для населення ПП "Херсонтеплогенерація" на 2021-2022 опалювальний період</t>
  </si>
  <si>
    <t>Розрахунок плати за абонентське обслуговування населення ПП "Херсонтеплогенерація" на 2021-2022 опалювальний період</t>
  </si>
  <si>
    <t>вода для технологічних потреб та водовідведення: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</si>
</sst>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"/>
    <numFmt numFmtId="173" formatCode="#,##0.00000"/>
    <numFmt numFmtId="174" formatCode="0.00000"/>
    <numFmt numFmtId="175" formatCode="#,##0.000"/>
    <numFmt numFmtId="176" formatCode="0.000"/>
    <numFmt numFmtId="177" formatCode="0.00000000"/>
    <numFmt numFmtId="178" formatCode="#,##0.0000"/>
    <numFmt numFmtId="179" formatCode="0.000000"/>
    <numFmt numFmtId="180" formatCode="#,##0.0"/>
    <numFmt numFmtId="181" formatCode="#,##0.000000"/>
    <numFmt numFmtId="182" formatCode="#,##0.0000000"/>
    <numFmt numFmtId="183" formatCode="#,##0.00000000"/>
    <numFmt numFmtId="184" formatCode="0.0000000"/>
    <numFmt numFmtId="185" formatCode="0.0000"/>
    <numFmt numFmtId="186" formatCode="0.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vertAlign val="subscript"/>
      <sz val="8"/>
      <color indexed="63"/>
      <name val="Times New Roman"/>
      <family val="1"/>
    </font>
    <font>
      <sz val="11"/>
      <color indexed="63"/>
      <name val="Calibri"/>
      <family val="2"/>
    </font>
    <font>
      <b/>
      <vertAlign val="subscript"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vertAlign val="subscript"/>
      <sz val="14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0"/>
      <name val="Times New Roman Cyr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333333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rgb="FF333333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Fill="1" applyAlignment="1">
      <alignment/>
    </xf>
    <xf numFmtId="0" fontId="4" fillId="0" borderId="0" xfId="53" applyFont="1" applyFill="1" applyAlignment="1">
      <alignment horizontal="center" vertical="center"/>
      <protection/>
    </xf>
    <xf numFmtId="0" fontId="6" fillId="0" borderId="0" xfId="53" applyFill="1">
      <alignment/>
      <protection/>
    </xf>
    <xf numFmtId="0" fontId="11" fillId="0" borderId="0" xfId="53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vertical="center" wrapText="1"/>
      <protection/>
    </xf>
    <xf numFmtId="0" fontId="6" fillId="0" borderId="0" xfId="53" applyFill="1" applyAlignment="1">
      <alignment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wrapText="1"/>
      <protection/>
    </xf>
    <xf numFmtId="0" fontId="12" fillId="0" borderId="10" xfId="53" applyNumberFormat="1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vertical="center" wrapText="1"/>
      <protection/>
    </xf>
    <xf numFmtId="0" fontId="5" fillId="0" borderId="0" xfId="53" applyFont="1" applyFill="1">
      <alignment/>
      <protection/>
    </xf>
    <xf numFmtId="2" fontId="5" fillId="0" borderId="0" xfId="53" applyNumberFormat="1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wrapText="1"/>
      <protection/>
    </xf>
    <xf numFmtId="0" fontId="6" fillId="0" borderId="0" xfId="53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2" fontId="6" fillId="0" borderId="0" xfId="53" applyNumberFormat="1" applyFont="1" applyFill="1" applyAlignment="1">
      <alignment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9" fillId="0" borderId="0" xfId="53" applyFont="1" applyFill="1" applyBorder="1" applyAlignment="1">
      <alignment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76" fillId="33" borderId="0" xfId="0" applyFont="1" applyFill="1" applyAlignment="1">
      <alignment/>
    </xf>
    <xf numFmtId="0" fontId="76" fillId="34" borderId="0" xfId="0" applyFont="1" applyFill="1" applyAlignment="1">
      <alignment/>
    </xf>
    <xf numFmtId="0" fontId="14" fillId="0" borderId="0" xfId="53" applyFont="1" applyFill="1" applyAlignment="1">
      <alignment wrapText="1"/>
      <protection/>
    </xf>
    <xf numFmtId="16" fontId="1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0" borderId="0" xfId="55" applyFont="1" applyFill="1">
      <alignment/>
      <protection/>
    </xf>
    <xf numFmtId="0" fontId="15" fillId="0" borderId="0" xfId="55" applyFont="1" applyFill="1" applyBorder="1">
      <alignment/>
      <protection/>
    </xf>
    <xf numFmtId="0" fontId="15" fillId="0" borderId="0" xfId="55" applyFont="1" applyFill="1" applyBorder="1" applyAlignment="1">
      <alignment horizont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center" wrapText="1"/>
      <protection/>
    </xf>
    <xf numFmtId="0" fontId="16" fillId="0" borderId="0" xfId="55" applyFont="1" applyFill="1" applyBorder="1" applyAlignment="1">
      <alignment horizontal="center"/>
      <protection/>
    </xf>
    <xf numFmtId="16" fontId="16" fillId="0" borderId="11" xfId="55" applyNumberFormat="1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 wrapText="1"/>
      <protection/>
    </xf>
    <xf numFmtId="0" fontId="19" fillId="0" borderId="0" xfId="55" applyFont="1" applyFill="1">
      <alignment/>
      <protection/>
    </xf>
    <xf numFmtId="4" fontId="5" fillId="0" borderId="0" xfId="53" applyNumberFormat="1" applyFont="1" applyFill="1">
      <alignment/>
      <protection/>
    </xf>
    <xf numFmtId="4" fontId="75" fillId="0" borderId="0" xfId="0" applyNumberFormat="1" applyFont="1" applyFill="1" applyAlignment="1">
      <alignment/>
    </xf>
    <xf numFmtId="4" fontId="6" fillId="0" borderId="0" xfId="53" applyNumberFormat="1" applyFont="1" applyFill="1" applyAlignment="1">
      <alignment wrapText="1"/>
      <protection/>
    </xf>
    <xf numFmtId="0" fontId="75" fillId="12" borderId="0" xfId="0" applyFont="1" applyFill="1" applyAlignment="1">
      <alignment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3" fontId="75" fillId="0" borderId="0" xfId="0" applyNumberFormat="1" applyFont="1" applyFill="1" applyAlignment="1">
      <alignment/>
    </xf>
    <xf numFmtId="3" fontId="76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horizontal="center" vertical="center" wrapText="1"/>
    </xf>
    <xf numFmtId="4" fontId="76" fillId="0" borderId="17" xfId="0" applyNumberFormat="1" applyFont="1" applyFill="1" applyBorder="1" applyAlignment="1">
      <alignment horizontal="center" vertical="center" wrapText="1"/>
    </xf>
    <xf numFmtId="4" fontId="75" fillId="0" borderId="18" xfId="0" applyNumberFormat="1" applyFont="1" applyFill="1" applyBorder="1" applyAlignment="1">
      <alignment horizontal="center" vertical="center" wrapText="1"/>
    </xf>
    <xf numFmtId="4" fontId="76" fillId="0" borderId="19" xfId="0" applyNumberFormat="1" applyFont="1" applyFill="1" applyBorder="1" applyAlignment="1">
      <alignment horizontal="center" vertical="center" wrapText="1"/>
    </xf>
    <xf numFmtId="4" fontId="76" fillId="0" borderId="20" xfId="0" applyNumberFormat="1" applyFont="1" applyFill="1" applyBorder="1" applyAlignment="1">
      <alignment horizontal="center" vertical="center" wrapText="1"/>
    </xf>
    <xf numFmtId="4" fontId="76" fillId="0" borderId="21" xfId="0" applyNumberFormat="1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/>
    </xf>
    <xf numFmtId="2" fontId="76" fillId="0" borderId="21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4" fontId="76" fillId="0" borderId="12" xfId="0" applyNumberFormat="1" applyFont="1" applyFill="1" applyBorder="1" applyAlignment="1">
      <alignment horizontal="center" vertical="center"/>
    </xf>
    <xf numFmtId="2" fontId="76" fillId="0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5" borderId="28" xfId="0" applyNumberFormat="1" applyFont="1" applyFill="1" applyBorder="1" applyAlignment="1">
      <alignment vertical="center" wrapText="1"/>
    </xf>
    <xf numFmtId="49" fontId="3" fillId="35" borderId="32" xfId="0" applyNumberFormat="1" applyFont="1" applyFill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 wrapText="1"/>
    </xf>
    <xf numFmtId="4" fontId="76" fillId="0" borderId="33" xfId="0" applyNumberFormat="1" applyFont="1" applyFill="1" applyBorder="1" applyAlignment="1">
      <alignment horizontal="center" vertical="center" wrapText="1"/>
    </xf>
    <xf numFmtId="4" fontId="76" fillId="0" borderId="3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76" fillId="0" borderId="3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 wrapText="1"/>
    </xf>
    <xf numFmtId="0" fontId="75" fillId="0" borderId="0" xfId="0" applyFont="1" applyFill="1" applyAlignment="1">
      <alignment vertical="center"/>
    </xf>
    <xf numFmtId="4" fontId="77" fillId="0" borderId="0" xfId="0" applyNumberFormat="1" applyFont="1" applyFill="1" applyBorder="1" applyAlignment="1">
      <alignment vertical="center" wrapText="1"/>
    </xf>
    <xf numFmtId="183" fontId="77" fillId="0" borderId="0" xfId="0" applyNumberFormat="1" applyFont="1" applyFill="1" applyBorder="1" applyAlignment="1">
      <alignment vertical="center" wrapText="1"/>
    </xf>
    <xf numFmtId="4" fontId="75" fillId="0" borderId="0" xfId="0" applyNumberFormat="1" applyFont="1" applyFill="1" applyAlignment="1">
      <alignment vertical="center"/>
    </xf>
    <xf numFmtId="182" fontId="78" fillId="0" borderId="0" xfId="0" applyNumberFormat="1" applyFont="1" applyFill="1" applyBorder="1" applyAlignment="1">
      <alignment vertical="center" wrapText="1"/>
    </xf>
    <xf numFmtId="4" fontId="75" fillId="0" borderId="26" xfId="0" applyNumberFormat="1" applyFont="1" applyFill="1" applyBorder="1" applyAlignment="1">
      <alignment horizontal="center" vertical="center"/>
    </xf>
    <xf numFmtId="4" fontId="75" fillId="0" borderId="36" xfId="0" applyNumberFormat="1" applyFont="1" applyFill="1" applyBorder="1" applyAlignment="1">
      <alignment horizontal="center" vertical="center"/>
    </xf>
    <xf numFmtId="4" fontId="75" fillId="0" borderId="37" xfId="0" applyNumberFormat="1" applyFont="1" applyFill="1" applyBorder="1" applyAlignment="1">
      <alignment horizontal="center" vertical="center"/>
    </xf>
    <xf numFmtId="4" fontId="75" fillId="0" borderId="18" xfId="0" applyNumberFormat="1" applyFont="1" applyFill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4" fontId="75" fillId="0" borderId="34" xfId="0" applyNumberFormat="1" applyFont="1" applyFill="1" applyBorder="1" applyAlignment="1">
      <alignment horizontal="center" vertical="center"/>
    </xf>
    <xf numFmtId="4" fontId="75" fillId="0" borderId="12" xfId="0" applyNumberFormat="1" applyFont="1" applyFill="1" applyBorder="1" applyAlignment="1">
      <alignment horizontal="center" vertical="center"/>
    </xf>
    <xf numFmtId="4" fontId="76" fillId="0" borderId="18" xfId="0" applyNumberFormat="1" applyFont="1" applyFill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4" fontId="75" fillId="0" borderId="38" xfId="0" applyNumberFormat="1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horizontal="center" vertical="center"/>
    </xf>
    <xf numFmtId="4" fontId="75" fillId="0" borderId="39" xfId="0" applyNumberFormat="1" applyFont="1" applyFill="1" applyBorder="1" applyAlignment="1">
      <alignment horizontal="center" vertical="center"/>
    </xf>
    <xf numFmtId="4" fontId="76" fillId="0" borderId="38" xfId="0" applyNumberFormat="1" applyFont="1" applyFill="1" applyBorder="1" applyAlignment="1">
      <alignment horizontal="center" vertical="center"/>
    </xf>
    <xf numFmtId="4" fontId="76" fillId="0" borderId="39" xfId="0" applyNumberFormat="1" applyFont="1" applyFill="1" applyBorder="1" applyAlignment="1">
      <alignment horizontal="center" vertical="center"/>
    </xf>
    <xf numFmtId="4" fontId="75" fillId="0" borderId="40" xfId="0" applyNumberFormat="1" applyFont="1" applyFill="1" applyBorder="1" applyAlignment="1">
      <alignment horizontal="center" vertical="center"/>
    </xf>
    <xf numFmtId="4" fontId="75" fillId="0" borderId="41" xfId="0" applyNumberFormat="1" applyFont="1" applyFill="1" applyBorder="1" applyAlignment="1">
      <alignment horizontal="center" vertical="center"/>
    </xf>
    <xf numFmtId="4" fontId="75" fillId="0" borderId="42" xfId="0" applyNumberFormat="1" applyFont="1" applyFill="1" applyBorder="1" applyAlignment="1">
      <alignment horizontal="center" vertical="center"/>
    </xf>
    <xf numFmtId="4" fontId="75" fillId="0" borderId="43" xfId="0" applyNumberFormat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75" fillId="0" borderId="44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2" fontId="76" fillId="0" borderId="38" xfId="0" applyNumberFormat="1" applyFont="1" applyFill="1" applyBorder="1" applyAlignment="1">
      <alignment horizontal="center" vertical="center"/>
    </xf>
    <xf numFmtId="2" fontId="76" fillId="0" borderId="11" xfId="0" applyNumberFormat="1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/>
    </xf>
    <xf numFmtId="0" fontId="75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vertical="center"/>
    </xf>
    <xf numFmtId="4" fontId="76" fillId="0" borderId="46" xfId="0" applyNumberFormat="1" applyFont="1" applyFill="1" applyBorder="1" applyAlignment="1">
      <alignment horizontal="center" vertical="center"/>
    </xf>
    <xf numFmtId="4" fontId="76" fillId="0" borderId="47" xfId="0" applyNumberFormat="1" applyFont="1" applyFill="1" applyBorder="1" applyAlignment="1">
      <alignment horizontal="center" vertical="center"/>
    </xf>
    <xf numFmtId="4" fontId="76" fillId="0" borderId="48" xfId="0" applyNumberFormat="1" applyFont="1" applyFill="1" applyBorder="1" applyAlignment="1">
      <alignment horizontal="center" vertical="center"/>
    </xf>
    <xf numFmtId="4" fontId="76" fillId="0" borderId="35" xfId="0" applyNumberFormat="1" applyFont="1" applyFill="1" applyBorder="1" applyAlignment="1">
      <alignment horizontal="center" vertical="center"/>
    </xf>
    <xf numFmtId="4" fontId="76" fillId="0" borderId="49" xfId="0" applyNumberFormat="1" applyFont="1" applyFill="1" applyBorder="1" applyAlignment="1">
      <alignment horizontal="center" vertical="center"/>
    </xf>
    <xf numFmtId="4" fontId="79" fillId="0" borderId="0" xfId="0" applyNumberFormat="1" applyFont="1" applyAlignment="1">
      <alignment vertical="center"/>
    </xf>
    <xf numFmtId="0" fontId="79" fillId="0" borderId="0" xfId="0" applyFont="1" applyFill="1" applyAlignment="1">
      <alignment vertical="center"/>
    </xf>
    <xf numFmtId="4" fontId="79" fillId="0" borderId="0" xfId="0" applyNumberFormat="1" applyFont="1" applyFill="1" applyAlignment="1">
      <alignment vertical="center"/>
    </xf>
    <xf numFmtId="2" fontId="79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49" fontId="3" fillId="0" borderId="5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58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4" fontId="5" fillId="35" borderId="60" xfId="0" applyNumberFormat="1" applyFont="1" applyFill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47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58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" fontId="5" fillId="0" borderId="46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62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60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0" fontId="15" fillId="0" borderId="17" xfId="55" applyFont="1" applyFill="1" applyBorder="1" applyAlignment="1">
      <alignment vertical="center" wrapText="1"/>
      <protection/>
    </xf>
    <xf numFmtId="0" fontId="16" fillId="0" borderId="17" xfId="55" applyFont="1" applyFill="1" applyBorder="1" applyAlignment="1">
      <alignment horizontal="center" vertical="center" wrapText="1"/>
      <protection/>
    </xf>
    <xf numFmtId="4" fontId="5" fillId="0" borderId="63" xfId="0" applyNumberFormat="1" applyFont="1" applyBorder="1" applyAlignment="1">
      <alignment vertical="center"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4" fontId="13" fillId="0" borderId="0" xfId="53" applyNumberFormat="1" applyFont="1" applyFill="1" applyBorder="1" applyAlignment="1">
      <alignment horizontal="center" vertical="center" wrapText="1"/>
      <protection/>
    </xf>
    <xf numFmtId="4" fontId="13" fillId="0" borderId="64" xfId="53" applyNumberFormat="1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wrapText="1"/>
      <protection/>
    </xf>
    <xf numFmtId="4" fontId="18" fillId="0" borderId="12" xfId="55" applyNumberFormat="1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2" fontId="21" fillId="0" borderId="10" xfId="55" applyNumberFormat="1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 vertical="center"/>
      <protection/>
    </xf>
    <xf numFmtId="4" fontId="20" fillId="0" borderId="10" xfId="55" applyNumberFormat="1" applyFont="1" applyFill="1" applyBorder="1" applyAlignment="1">
      <alignment horizontal="center" vertical="center"/>
      <protection/>
    </xf>
    <xf numFmtId="176" fontId="20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16" fillId="0" borderId="65" xfId="55" applyFont="1" applyFill="1" applyBorder="1" applyAlignment="1">
      <alignment horizontal="left" vertical="center" wrapText="1"/>
      <protection/>
    </xf>
    <xf numFmtId="3" fontId="16" fillId="0" borderId="65" xfId="55" applyNumberFormat="1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6" fillId="0" borderId="66" xfId="0" applyFont="1" applyFill="1" applyBorder="1" applyAlignment="1">
      <alignment horizontal="center" vertical="center"/>
    </xf>
    <xf numFmtId="49" fontId="75" fillId="0" borderId="67" xfId="0" applyNumberFormat="1" applyFont="1" applyFill="1" applyBorder="1" applyAlignment="1">
      <alignment horizontal="right" vertical="center"/>
    </xf>
    <xf numFmtId="49" fontId="76" fillId="0" borderId="67" xfId="0" applyNumberFormat="1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/>
    </xf>
    <xf numFmtId="0" fontId="76" fillId="0" borderId="67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right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left" vertical="center"/>
    </xf>
    <xf numFmtId="0" fontId="75" fillId="0" borderId="67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5" fillId="0" borderId="67" xfId="0" applyFont="1" applyFill="1" applyBorder="1" applyAlignment="1">
      <alignment horizontal="left" vertical="center" wrapText="1"/>
    </xf>
    <xf numFmtId="0" fontId="76" fillId="0" borderId="67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left" vertical="center"/>
    </xf>
    <xf numFmtId="0" fontId="75" fillId="0" borderId="68" xfId="0" applyFont="1" applyFill="1" applyBorder="1" applyAlignment="1">
      <alignment horizontal="left" wrapText="1"/>
    </xf>
    <xf numFmtId="0" fontId="75" fillId="0" borderId="11" xfId="0" applyFont="1" applyFill="1" applyBorder="1" applyAlignment="1">
      <alignment horizontal="left" wrapText="1"/>
    </xf>
    <xf numFmtId="0" fontId="75" fillId="0" borderId="11" xfId="0" applyFont="1" applyFill="1" applyBorder="1" applyAlignment="1">
      <alignment wrapText="1"/>
    </xf>
    <xf numFmtId="0" fontId="76" fillId="0" borderId="68" xfId="0" applyFont="1" applyFill="1" applyBorder="1" applyAlignment="1">
      <alignment horizontal="left" vertical="center" wrapText="1"/>
    </xf>
    <xf numFmtId="49" fontId="75" fillId="0" borderId="28" xfId="0" applyNumberFormat="1" applyFont="1" applyFill="1" applyBorder="1" applyAlignment="1">
      <alignment horizontal="right" vertical="center"/>
    </xf>
    <xf numFmtId="0" fontId="75" fillId="0" borderId="28" xfId="0" applyFont="1" applyFill="1" applyBorder="1" applyAlignment="1">
      <alignment horizontal="right" vertical="center"/>
    </xf>
    <xf numFmtId="0" fontId="76" fillId="0" borderId="28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Fill="1" applyAlignment="1">
      <alignment horizontal="right"/>
    </xf>
    <xf numFmtId="0" fontId="11" fillId="0" borderId="0" xfId="53" applyFont="1" applyFill="1">
      <alignment/>
      <protection/>
    </xf>
    <xf numFmtId="49" fontId="31" fillId="0" borderId="37" xfId="0" applyNumberFormat="1" applyFont="1" applyBorder="1" applyAlignment="1">
      <alignment vertical="center" wrapText="1"/>
    </xf>
    <xf numFmtId="4" fontId="31" fillId="0" borderId="10" xfId="53" applyNumberFormat="1" applyFont="1" applyFill="1" applyBorder="1" applyAlignment="1">
      <alignment horizontal="center" vertical="center"/>
      <protection/>
    </xf>
    <xf numFmtId="49" fontId="31" fillId="0" borderId="34" xfId="0" applyNumberFormat="1" applyFont="1" applyBorder="1" applyAlignment="1">
      <alignment vertical="center" wrapText="1"/>
    </xf>
    <xf numFmtId="0" fontId="4" fillId="0" borderId="34" xfId="53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4" fontId="11" fillId="3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Fill="1" applyAlignment="1">
      <alignment horizontal="left" wrapText="1"/>
      <protection/>
    </xf>
    <xf numFmtId="4" fontId="34" fillId="0" borderId="0" xfId="53" applyNumberFormat="1" applyFont="1" applyFill="1" applyAlignment="1">
      <alignment horizontal="left" wrapText="1"/>
      <protection/>
    </xf>
    <xf numFmtId="0" fontId="34" fillId="0" borderId="0" xfId="53" applyFont="1" applyFill="1" applyBorder="1" applyAlignment="1">
      <alignment/>
      <protection/>
    </xf>
    <xf numFmtId="0" fontId="11" fillId="3" borderId="41" xfId="53" applyFont="1" applyFill="1" applyBorder="1" applyAlignment="1">
      <alignment horizontal="left"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35" fillId="0" borderId="0" xfId="55" applyFont="1" applyFill="1" applyBorder="1" applyAlignment="1">
      <alignment horizontal="right"/>
      <protection/>
    </xf>
    <xf numFmtId="0" fontId="83" fillId="0" borderId="0" xfId="0" applyFont="1" applyAlignment="1">
      <alignment/>
    </xf>
    <xf numFmtId="0" fontId="36" fillId="0" borderId="0" xfId="55" applyFont="1" applyFill="1" applyBorder="1" applyAlignment="1">
      <alignment horizontal="center" wrapText="1"/>
      <protection/>
    </xf>
    <xf numFmtId="0" fontId="20" fillId="0" borderId="0" xfId="55" applyFont="1" applyFill="1" applyAlignment="1">
      <alignment horizontal="center" wrapText="1"/>
      <protection/>
    </xf>
    <xf numFmtId="0" fontId="19" fillId="0" borderId="0" xfId="55" applyFont="1" applyFill="1" applyBorder="1">
      <alignment/>
      <protection/>
    </xf>
    <xf numFmtId="2" fontId="19" fillId="0" borderId="0" xfId="55" applyNumberFormat="1" applyFont="1" applyFill="1" applyBorder="1">
      <alignment/>
      <protection/>
    </xf>
    <xf numFmtId="4" fontId="19" fillId="0" borderId="0" xfId="55" applyNumberFormat="1" applyFont="1" applyFill="1" applyBorder="1">
      <alignment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>
      <alignment horizontal="left" vertical="center" wrapText="1"/>
      <protection/>
    </xf>
    <xf numFmtId="3" fontId="16" fillId="0" borderId="0" xfId="55" applyNumberFormat="1" applyFont="1" applyFill="1" applyBorder="1" applyAlignment="1">
      <alignment horizontal="center" vertical="center" wrapText="1"/>
      <protection/>
    </xf>
    <xf numFmtId="0" fontId="84" fillId="0" borderId="69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7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65" xfId="0" applyFont="1" applyFill="1" applyBorder="1" applyAlignment="1">
      <alignment horizontal="center" vertical="center" wrapText="1"/>
    </xf>
    <xf numFmtId="0" fontId="76" fillId="0" borderId="71" xfId="0" applyFont="1" applyFill="1" applyBorder="1" applyAlignment="1">
      <alignment horizontal="center" vertical="center" wrapText="1"/>
    </xf>
    <xf numFmtId="0" fontId="76" fillId="0" borderId="72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84" fillId="0" borderId="6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34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4" fillId="0" borderId="0" xfId="53" applyFont="1" applyFill="1" applyAlignment="1">
      <alignment horizontal="left" wrapText="1"/>
      <protection/>
    </xf>
    <xf numFmtId="0" fontId="10" fillId="0" borderId="77" xfId="53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left" wrapText="1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0" borderId="0" xfId="55" applyFont="1" applyFill="1" applyAlignment="1">
      <alignment horizontal="right" wrapText="1"/>
      <protection/>
    </xf>
    <xf numFmtId="0" fontId="15" fillId="0" borderId="69" xfId="55" applyFont="1" applyFill="1" applyBorder="1" applyAlignment="1">
      <alignment horizontal="center" wrapText="1"/>
      <protection/>
    </xf>
    <xf numFmtId="0" fontId="11" fillId="0" borderId="0" xfId="53" applyFont="1" applyFill="1" applyAlignment="1">
      <alignment horizontal="right"/>
      <protection/>
    </xf>
    <xf numFmtId="0" fontId="85" fillId="0" borderId="10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1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3" xfId="56"/>
    <cellStyle name="Обычный_Факт 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87;&#1088;&#1080;&#1088;&#1086;&#1076;&#1085;&#1080;&#1081;%20&#1075;&#1072;&#1079;%20+%20&#1090;&#1088;&#1072;&#1085;&#1089;&#1087;+&#1088;&#1086;&#1079;&#1087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oc\&#1086;&#1073;&#1097;&#1080;&#1077;%20&#1076;&#1086;&#1082;&#1091;&#1084;&#1077;&#1085;&#1090;&#1099;\&#1044;&#1086;&#1082;&#1091;&#1084;&#1077;&#1085;&#1090;&#1099;\&#1085;&#1086;&#1074;&#1099;&#1077;%20&#1076;&#1086;&#1082;&#1091;&#1084;&#1077;&#1085;&#1090;&#1099;\&#1056;&#1086;&#1079;&#1088;&#1072;&#1093;&#1091;&#1085;&#1086;&#1082;%20&#1090;&#1072;&#1088;&#1080;&#1092;&#1110;&#1074;\2021-2022\&#1055;&#1083;&#1072;&#1085;&#1086;&#1074;&#1072;%20&#1089;&#1086;&#1073;&#1110;&#1074;&#1072;&#1088;&#1090;&#1110;&#1089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77;&#1083;&#1077;&#1082;&#1090;&#1088;&#1086;&#1077;&#1085;&#1077;&#1088;&#1075;&#111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74;&#1086;&#1076;&#1072;%20&#1090;&#1072;%20&#1074;&#1086;&#1076;&#1086;&#1074;&#1110;&#1076;&#1074;&#1077;&#1076;&#1077;&#1085;&#1085;&#1103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8;&#1110;&#1072;&#1083;&#1100;&#1085;&#1110;%20&#1074;&#1080;&#1090;&#1088;&#1072;&#1090;&#1080;\&#1056;&#1086;&#1079;&#1088;&#1072;&#1093;&#1091;&#1085;&#1086;&#1082;%20&#1084;&#1072;&#1090;&#1077;&#1088;&#1110;&#1072;&#1083;&#1100;&#1085;&#1080;&#1093;%20%20&#1074;&#1080;&#1090;&#1088;&#1072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4;&#1086;&#1088;&#1090;&#1080;&#1079;&#1072;&#1094;&#1110;&#1103;\&#1040;&#1084;&#1086;&#1088;&#1090;&#1080;&#1079;&#1072;&#1094;&#1080;&#1103;%2001.10.20%20-%2030.09.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0;&#1090;&#1088;&#1072;&#1090;&#1080;%20&#1085;&#1072;%20&#1086;&#1087;&#1083;&#1072;&#1090;&#1091;%20&#1087;&#1088;&#1072;&#1094;&#1110;\&#1079;&#1072;&#1088;&#1086;&#1073;&#1110;&#1090;&#1085;&#1072;%20&#1087;&#1083;&#1072;&#1090;&#1072;%20&#1076;&#1083;&#1103;%20&#1076;&#1088;&#1091;&#1082;&#109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76;&#1072;&#1090;&#1082;&#1080;%20&#1090;&#1072;%20&#1086;&#1073;&#1086;&#1074;'&#1103;&#1079;&#1082;&#1086;&#1074;&#1110;%20&#1087;&#1083;&#1072;&#1090;&#1077;&#1078;&#1110;\&#1055;&#1086;&#1076;&#1072;&#109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80;%20&#1087;&#1086;%20&#1076;&#1086;&#1075;&#1086;&#1074;&#1086;&#1088;&#1072;&#1084;\&#1056;&#1086;&#1079;&#1088;&#1072;&#1093;&#1091;&#1085;&#1086;&#1082;%20&#1089;&#1090;&#1072;&#1090;&#1077;&#1081;%20&#1074;&#1080;&#1090;&#1088;&#1072;&#1090;%20&#1079;&#1072;%20&#1076;&#1086;&#1075;&#1086;&#1074;&#1086;&#1088;&#1072;&#1084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%2020-21\&#1055;&#1083;&#1072;&#1085;%20&#1088;&#1077;&#1072;&#1083;&#1080;&#1079;&#1072;&#1094;&#1080;&#108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, трансп., розпод."/>
      <sheetName val="розрахунок ціни на газ"/>
      <sheetName val="розподіл"/>
    </sheetNames>
    <sheetDataSet>
      <sheetData sheetId="0">
        <row r="6">
          <cell r="D6">
            <v>11808015.31</v>
          </cell>
        </row>
        <row r="10">
          <cell r="D10">
            <v>345740.9</v>
          </cell>
        </row>
        <row r="14">
          <cell r="D14">
            <v>2155214.14</v>
          </cell>
        </row>
        <row r="18">
          <cell r="D18">
            <v>14308970.35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обівартість"/>
      <sheetName val="Структура собівартості"/>
      <sheetName val="Тариф на теплову енергію"/>
      <sheetName val="Тариф для населення"/>
      <sheetName val="Плата за абонент. обслуг. "/>
      <sheetName val="Граничний розмір"/>
    </sheetNames>
    <sheetDataSet>
      <sheetData sheetId="0">
        <row r="20">
          <cell r="J20">
            <v>3114.3</v>
          </cell>
        </row>
        <row r="21">
          <cell r="J21">
            <v>2343.84</v>
          </cell>
        </row>
        <row r="23">
          <cell r="J23">
            <v>313024.9912903226</v>
          </cell>
        </row>
        <row r="24">
          <cell r="J24">
            <v>68865.49808387097</v>
          </cell>
        </row>
        <row r="37">
          <cell r="J37">
            <v>982</v>
          </cell>
        </row>
        <row r="45">
          <cell r="J45">
            <v>15429.57</v>
          </cell>
        </row>
        <row r="46">
          <cell r="J46">
            <v>9000</v>
          </cell>
        </row>
        <row r="48">
          <cell r="J48">
            <v>9106.08</v>
          </cell>
        </row>
        <row r="49">
          <cell r="J49">
            <v>1110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л. ен."/>
      <sheetName val="розрахунок ціни на ел.ен."/>
    </sheetNames>
    <sheetDataSet>
      <sheetData sheetId="0">
        <row r="5">
          <cell r="E5">
            <v>277446.87613</v>
          </cell>
          <cell r="F5">
            <v>640075.72927</v>
          </cell>
          <cell r="G5">
            <v>23696.68892</v>
          </cell>
        </row>
        <row r="6">
          <cell r="E6">
            <v>2227.9270643866344</v>
          </cell>
          <cell r="F6">
            <v>5296.719600380464</v>
          </cell>
        </row>
        <row r="7">
          <cell r="E7">
            <v>98876.026</v>
          </cell>
          <cell r="F7">
            <v>228109.05399999997</v>
          </cell>
          <cell r="G7">
            <v>8444.983999999999</v>
          </cell>
        </row>
        <row r="8">
          <cell r="D8">
            <v>1284174.004984767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а, водовідвед."/>
    </sheetNames>
    <sheetDataSet>
      <sheetData sheetId="0">
        <row r="6">
          <cell r="E6">
            <v>21460.14</v>
          </cell>
          <cell r="F6">
            <v>25119.369</v>
          </cell>
          <cell r="G6">
            <v>611.4</v>
          </cell>
        </row>
        <row r="7">
          <cell r="E7">
            <v>12471.561000000002</v>
          </cell>
          <cell r="G7">
            <v>629.4</v>
          </cell>
        </row>
        <row r="8">
          <cell r="D8">
            <v>60291.87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ль"/>
      <sheetName val="Розрахунок обсягу витрат пально"/>
      <sheetName val="мастильні матеріали"/>
      <sheetName val="спецодяг та взуття"/>
      <sheetName val="аптечки"/>
      <sheetName val="мило"/>
      <sheetName val="канцтовари"/>
    </sheetNames>
    <sheetDataSet>
      <sheetData sheetId="0">
        <row r="10">
          <cell r="G10">
            <v>16414.2</v>
          </cell>
        </row>
      </sheetData>
      <sheetData sheetId="1">
        <row r="7">
          <cell r="K7">
            <v>10783.68921</v>
          </cell>
        </row>
        <row r="8">
          <cell r="K8">
            <v>13282.337200000002</v>
          </cell>
        </row>
        <row r="9">
          <cell r="K9">
            <v>18629.6145</v>
          </cell>
        </row>
        <row r="10">
          <cell r="K10">
            <v>1007.846</v>
          </cell>
        </row>
        <row r="11">
          <cell r="K11">
            <v>365.2788</v>
          </cell>
        </row>
        <row r="12">
          <cell r="K12">
            <v>44068.76571</v>
          </cell>
        </row>
      </sheetData>
      <sheetData sheetId="2">
        <row r="7">
          <cell r="O7">
            <v>1607.5206744974998</v>
          </cell>
        </row>
        <row r="8">
          <cell r="O8">
            <v>4405.087132380001</v>
          </cell>
        </row>
        <row r="9">
          <cell r="O9">
            <v>6178.511648925</v>
          </cell>
        </row>
        <row r="10">
          <cell r="O10">
            <v>411.21174255000005</v>
          </cell>
        </row>
        <row r="11">
          <cell r="O11">
            <v>131.64937953749998</v>
          </cell>
        </row>
        <row r="12">
          <cell r="O12">
            <v>12733.980577890003</v>
          </cell>
        </row>
      </sheetData>
      <sheetData sheetId="3">
        <row r="16">
          <cell r="I16">
            <v>18397.989999999998</v>
          </cell>
          <cell r="J16">
            <v>15596.529999999999</v>
          </cell>
          <cell r="K16">
            <v>2366.46</v>
          </cell>
          <cell r="L16">
            <v>435</v>
          </cell>
        </row>
      </sheetData>
      <sheetData sheetId="4">
        <row r="18">
          <cell r="F18">
            <v>698.3083333333334</v>
          </cell>
        </row>
      </sheetData>
      <sheetData sheetId="5">
        <row r="12">
          <cell r="F12">
            <v>1560.24</v>
          </cell>
          <cell r="G12">
            <v>921.9600000000002</v>
          </cell>
          <cell r="H12">
            <v>425.52</v>
          </cell>
          <cell r="I12">
            <v>212.76</v>
          </cell>
        </row>
      </sheetData>
      <sheetData sheetId="6">
        <row r="7">
          <cell r="E7">
            <v>13480.380000000001</v>
          </cell>
          <cell r="F7">
            <v>7737.63</v>
          </cell>
          <cell r="G7">
            <v>5742.75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0">
          <cell r="C40">
            <v>34361.04</v>
          </cell>
        </row>
        <row r="41">
          <cell r="C41">
            <v>4469.28</v>
          </cell>
        </row>
        <row r="43">
          <cell r="C43">
            <v>2343.84</v>
          </cell>
        </row>
        <row r="44">
          <cell r="C44">
            <v>612.84</v>
          </cell>
        </row>
        <row r="45">
          <cell r="C45">
            <v>41787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алювальний"/>
      <sheetName val="міжопалювальний"/>
      <sheetName val="свод"/>
    </sheetNames>
    <sheetDataSet>
      <sheetData sheetId="2">
        <row r="4">
          <cell r="H4">
            <v>1667487.0599999996</v>
          </cell>
        </row>
        <row r="5">
          <cell r="H5">
            <v>274734.12</v>
          </cell>
        </row>
        <row r="6">
          <cell r="H6">
            <v>56676</v>
          </cell>
        </row>
        <row r="7">
          <cell r="H7">
            <v>257647.68</v>
          </cell>
        </row>
        <row r="8">
          <cell r="H8">
            <v>226003.08000000002</v>
          </cell>
        </row>
        <row r="9">
          <cell r="H9">
            <v>1052097.3599999999</v>
          </cell>
        </row>
        <row r="10">
          <cell r="H10">
            <v>3534645.3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даток на воду"/>
      <sheetName val="викиди"/>
    </sheetNames>
    <sheetDataSet>
      <sheetData sheetId="0">
        <row r="14">
          <cell r="E14">
            <v>934.0975889999999</v>
          </cell>
        </row>
      </sheetData>
      <sheetData sheetId="1">
        <row r="16">
          <cell r="D16">
            <v>59645.35753999999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ренда  ОЗ"/>
      <sheetName val="експертиза котлів"/>
      <sheetName val="ТО котлів"/>
      <sheetName val="РНР"/>
      <sheetName val="сезонна наладка"/>
      <sheetName val="повірка"/>
      <sheetName val="ДВК"/>
      <sheetName val="ел. заміри (Соловьев)"/>
      <sheetName val="ТО вогнегасників"/>
      <sheetName val="ТО газопроводів"/>
      <sheetName val="ТО дистанц. передачі газу"/>
      <sheetName val="РРО Ріко"/>
      <sheetName val="навчання"/>
      <sheetName val="мед. огляд"/>
      <sheetName val="послуги банків"/>
      <sheetName val="інкасація"/>
      <sheetName val="обсл. комп., Медок"/>
      <sheetName val="програмне забезпеч."/>
      <sheetName val="обслуг. орг. техніки"/>
      <sheetName val="послуги зв'язку"/>
      <sheetName val="поштові витрати"/>
      <sheetName val="передплата"/>
      <sheetName val="охорона"/>
      <sheetName val="опалення адмін. будівлі"/>
      <sheetName val="юридичні послуги"/>
      <sheetName val="страхування"/>
      <sheetName val="гідромет. обслугов."/>
    </sheetNames>
    <sheetDataSet>
      <sheetData sheetId="0">
        <row r="13">
          <cell r="D13">
            <v>2439159</v>
          </cell>
          <cell r="E13">
            <v>1749159</v>
          </cell>
          <cell r="F13">
            <v>540000</v>
          </cell>
          <cell r="G13">
            <v>150000</v>
          </cell>
        </row>
      </sheetData>
      <sheetData sheetId="1">
        <row r="7">
          <cell r="F7">
            <v>25325.007500000003</v>
          </cell>
        </row>
      </sheetData>
      <sheetData sheetId="2">
        <row r="7">
          <cell r="E7">
            <v>137940</v>
          </cell>
        </row>
      </sheetData>
      <sheetData sheetId="3">
        <row r="6">
          <cell r="F6">
            <v>82137.59999999999</v>
          </cell>
        </row>
      </sheetData>
      <sheetData sheetId="4">
        <row r="9">
          <cell r="F9">
            <v>118096</v>
          </cell>
        </row>
      </sheetData>
      <sheetData sheetId="5">
        <row r="27">
          <cell r="F27">
            <v>5459.280000000001</v>
          </cell>
        </row>
        <row r="30">
          <cell r="F30">
            <v>64530.486666666664</v>
          </cell>
        </row>
      </sheetData>
      <sheetData sheetId="6">
        <row r="7">
          <cell r="B7">
            <v>16125</v>
          </cell>
        </row>
      </sheetData>
      <sheetData sheetId="7">
        <row r="7">
          <cell r="C7">
            <v>11330</v>
          </cell>
        </row>
      </sheetData>
      <sheetData sheetId="8">
        <row r="6">
          <cell r="C6">
            <v>1852.97</v>
          </cell>
        </row>
      </sheetData>
      <sheetData sheetId="9">
        <row r="7">
          <cell r="C7">
            <v>4628.5</v>
          </cell>
        </row>
      </sheetData>
      <sheetData sheetId="10">
        <row r="7">
          <cell r="D7">
            <v>8100</v>
          </cell>
        </row>
      </sheetData>
      <sheetData sheetId="11">
        <row r="7">
          <cell r="C7">
            <v>3420</v>
          </cell>
        </row>
      </sheetData>
      <sheetData sheetId="12">
        <row r="16">
          <cell r="L16">
            <v>8309.3</v>
          </cell>
          <cell r="M16">
            <v>7955.98</v>
          </cell>
          <cell r="N16">
            <v>264.99</v>
          </cell>
          <cell r="O16">
            <v>88.33</v>
          </cell>
        </row>
      </sheetData>
      <sheetData sheetId="13">
        <row r="16">
          <cell r="F16">
            <v>6901.92</v>
          </cell>
          <cell r="G16">
            <v>6477.45</v>
          </cell>
          <cell r="H16">
            <v>424.46999999999997</v>
          </cell>
        </row>
      </sheetData>
      <sheetData sheetId="14">
        <row r="9">
          <cell r="C9">
            <v>31553.3</v>
          </cell>
          <cell r="D9">
            <v>23224.96</v>
          </cell>
          <cell r="E9">
            <v>8328.34</v>
          </cell>
        </row>
      </sheetData>
      <sheetData sheetId="15">
        <row r="6">
          <cell r="E6">
            <v>9000</v>
          </cell>
        </row>
      </sheetData>
      <sheetData sheetId="16">
        <row r="9">
          <cell r="D9">
            <v>12300</v>
          </cell>
        </row>
      </sheetData>
      <sheetData sheetId="17">
        <row r="7">
          <cell r="C7">
            <v>9106.08</v>
          </cell>
        </row>
      </sheetData>
      <sheetData sheetId="18">
        <row r="7">
          <cell r="C7">
            <v>2940</v>
          </cell>
          <cell r="D7">
            <v>1515</v>
          </cell>
          <cell r="E7">
            <v>1425</v>
          </cell>
        </row>
      </sheetData>
      <sheetData sheetId="19">
        <row r="11">
          <cell r="C11">
            <v>30477.600000000002</v>
          </cell>
          <cell r="D11">
            <v>1099.9199999999998</v>
          </cell>
          <cell r="E11">
            <v>29377.68</v>
          </cell>
        </row>
      </sheetData>
      <sheetData sheetId="20">
        <row r="7">
          <cell r="C7">
            <v>1237.46</v>
          </cell>
        </row>
      </sheetData>
      <sheetData sheetId="21">
        <row r="7">
          <cell r="C7">
            <v>5760</v>
          </cell>
        </row>
      </sheetData>
      <sheetData sheetId="22">
        <row r="8">
          <cell r="C8">
            <v>17400</v>
          </cell>
          <cell r="D8">
            <v>8800.08</v>
          </cell>
          <cell r="E8">
            <v>3600</v>
          </cell>
          <cell r="F8">
            <v>4999.92</v>
          </cell>
        </row>
      </sheetData>
      <sheetData sheetId="23">
        <row r="5">
          <cell r="C5">
            <v>30890.519800000002</v>
          </cell>
        </row>
      </sheetData>
      <sheetData sheetId="24">
        <row r="7">
          <cell r="D7">
            <v>120000</v>
          </cell>
        </row>
      </sheetData>
      <sheetData sheetId="25">
        <row r="17">
          <cell r="C17">
            <v>6019</v>
          </cell>
          <cell r="D17">
            <v>4794</v>
          </cell>
          <cell r="E17">
            <v>1225</v>
          </cell>
        </row>
      </sheetData>
      <sheetData sheetId="26">
        <row r="6">
          <cell r="D6">
            <v>2974.75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ые"/>
      <sheetName val="нормативы"/>
      <sheetName val="Лист2"/>
      <sheetName val="исх. даные реализ."/>
      <sheetName val="исх. даные реализ._норм "/>
      <sheetName val="План реализации"/>
      <sheetName val="тепло"/>
      <sheetName val="% потерь"/>
      <sheetName val="План відпуску"/>
      <sheetName val="План відпуску (2)"/>
      <sheetName val="План выработки"/>
      <sheetName val="Газ предпр."/>
      <sheetName val="Расчет теплотв"/>
      <sheetName val="Газ и реал.предпр."/>
      <sheetName val="Газ и реал.предпр. (2)"/>
      <sheetName val="Лист1"/>
      <sheetName val="отпуск по категориям"/>
    </sheetNames>
    <sheetDataSet>
      <sheetData sheetId="5">
        <row r="34">
          <cell r="B34">
            <v>11257.79</v>
          </cell>
          <cell r="E34">
            <v>6176.83</v>
          </cell>
          <cell r="I34">
            <v>288.44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87"/>
  <sheetViews>
    <sheetView showZeros="0" zoomScalePageLayoutView="0" workbookViewId="0" topLeftCell="A22">
      <selection activeCell="C28" sqref="C28"/>
    </sheetView>
  </sheetViews>
  <sheetFormatPr defaultColWidth="9.140625" defaultRowHeight="15" outlineLevelRow="1" outlineLevelCol="1"/>
  <cols>
    <col min="1" max="1" width="6.00390625" style="3" customWidth="1"/>
    <col min="2" max="2" width="45.140625" style="3" customWidth="1"/>
    <col min="3" max="3" width="16.421875" style="3" customWidth="1"/>
    <col min="4" max="4" width="18.00390625" style="3" customWidth="1"/>
    <col min="5" max="5" width="12.57421875" style="3" customWidth="1"/>
    <col min="6" max="6" width="16.421875" style="3" customWidth="1"/>
    <col min="7" max="7" width="21.00390625" style="3" customWidth="1"/>
    <col min="8" max="10" width="18.57421875" style="3" customWidth="1"/>
    <col min="11" max="11" width="15.57421875" style="3" customWidth="1"/>
    <col min="12" max="12" width="14.421875" style="1" hidden="1" customWidth="1" outlineLevel="1"/>
    <col min="13" max="13" width="14.28125" style="1" bestFit="1" customWidth="1" collapsed="1"/>
    <col min="14" max="14" width="13.140625" style="1" bestFit="1" customWidth="1"/>
    <col min="15" max="16384" width="9.140625" style="1" customWidth="1"/>
  </cols>
  <sheetData>
    <row r="1" spans="1:11" ht="32.25" customHeight="1" thickBot="1">
      <c r="A1" s="270" t="s">
        <v>228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8.5" customHeight="1" thickBot="1">
      <c r="A2" s="273" t="s">
        <v>82</v>
      </c>
      <c r="B2" s="271" t="s">
        <v>0</v>
      </c>
      <c r="C2" s="279" t="s">
        <v>4</v>
      </c>
      <c r="D2" s="280"/>
      <c r="E2" s="280"/>
      <c r="F2" s="280"/>
      <c r="G2" s="275" t="s">
        <v>5</v>
      </c>
      <c r="H2" s="275" t="s">
        <v>6</v>
      </c>
      <c r="I2" s="275" t="s">
        <v>183</v>
      </c>
      <c r="J2" s="277" t="s">
        <v>184</v>
      </c>
      <c r="K2" s="275" t="s">
        <v>7</v>
      </c>
    </row>
    <row r="3" spans="1:11" ht="57" customHeight="1" thickBot="1">
      <c r="A3" s="274"/>
      <c r="B3" s="272"/>
      <c r="C3" s="58" t="s">
        <v>1</v>
      </c>
      <c r="D3" s="52" t="s">
        <v>2</v>
      </c>
      <c r="E3" s="53" t="s">
        <v>3</v>
      </c>
      <c r="F3" s="91" t="s">
        <v>36</v>
      </c>
      <c r="G3" s="276"/>
      <c r="H3" s="276"/>
      <c r="I3" s="276"/>
      <c r="J3" s="278"/>
      <c r="K3" s="276"/>
    </row>
    <row r="4" spans="1:12" ht="18.75" customHeight="1">
      <c r="A4" s="222">
        <v>1</v>
      </c>
      <c r="B4" s="229" t="s">
        <v>92</v>
      </c>
      <c r="C4" s="61">
        <f>SUM(C5:C7)</f>
        <v>14308970.350000001</v>
      </c>
      <c r="D4" s="62"/>
      <c r="E4" s="88"/>
      <c r="F4" s="59">
        <f>SUM(F5:F7)</f>
        <v>14308970.350000001</v>
      </c>
      <c r="G4" s="59"/>
      <c r="H4" s="59"/>
      <c r="I4" s="59">
        <f>SUM(I5:I7)</f>
        <v>14308970.350000001</v>
      </c>
      <c r="J4" s="59"/>
      <c r="K4" s="59">
        <f>SUM(K5:K7)</f>
        <v>14308970.350000001</v>
      </c>
      <c r="L4" s="141">
        <f>'[1]газ, трансп., розпод.'!$D$18</f>
        <v>14308970.35</v>
      </c>
    </row>
    <row r="5" spans="1:12" s="3" customFormat="1" ht="21.75" customHeight="1">
      <c r="A5" s="223" t="s">
        <v>45</v>
      </c>
      <c r="B5" s="230" t="s">
        <v>91</v>
      </c>
      <c r="C5" s="99">
        <f>'[1]газ, трансп., розпод.'!$D$6</f>
        <v>11808015.31</v>
      </c>
      <c r="D5" s="100"/>
      <c r="E5" s="101"/>
      <c r="F5" s="102">
        <f>SUM(C5:E5)</f>
        <v>11808015.31</v>
      </c>
      <c r="G5" s="102"/>
      <c r="H5" s="102"/>
      <c r="I5" s="102">
        <f>SUM(F5:H5)</f>
        <v>11808015.31</v>
      </c>
      <c r="J5" s="102"/>
      <c r="K5" s="102">
        <f>I5+J5</f>
        <v>11808015.31</v>
      </c>
      <c r="L5" s="142"/>
    </row>
    <row r="6" spans="1:12" s="3" customFormat="1" ht="33.75" customHeight="1">
      <c r="A6" s="223" t="s">
        <v>58</v>
      </c>
      <c r="B6" s="231" t="s">
        <v>8</v>
      </c>
      <c r="C6" s="99">
        <f>'[1]газ, трансп., розпод.'!$D$10</f>
        <v>345740.9</v>
      </c>
      <c r="D6" s="103"/>
      <c r="E6" s="104"/>
      <c r="F6" s="102">
        <f>SUM(C6:E6)</f>
        <v>345740.9</v>
      </c>
      <c r="G6" s="105"/>
      <c r="H6" s="105"/>
      <c r="I6" s="102">
        <f>SUM(F6:H6)</f>
        <v>345740.9</v>
      </c>
      <c r="J6" s="102"/>
      <c r="K6" s="102">
        <f>I6+J6</f>
        <v>345740.9</v>
      </c>
      <c r="L6" s="142"/>
    </row>
    <row r="7" spans="1:12" s="3" customFormat="1" ht="22.5" customHeight="1">
      <c r="A7" s="223" t="s">
        <v>60</v>
      </c>
      <c r="B7" s="231" t="s">
        <v>167</v>
      </c>
      <c r="C7" s="99">
        <f>'[1]газ, трансп., розпод.'!$D$14</f>
        <v>2155214.14</v>
      </c>
      <c r="D7" s="103"/>
      <c r="E7" s="104"/>
      <c r="F7" s="102">
        <f>SUM(C7:E7)</f>
        <v>2155214.14</v>
      </c>
      <c r="G7" s="105"/>
      <c r="H7" s="105"/>
      <c r="I7" s="102">
        <f>SUM(F7:H7)</f>
        <v>2155214.14</v>
      </c>
      <c r="J7" s="102"/>
      <c r="K7" s="102">
        <f>I7+J7</f>
        <v>2155214.14</v>
      </c>
      <c r="L7" s="142"/>
    </row>
    <row r="8" spans="1:12" s="3" customFormat="1" ht="30" customHeight="1">
      <c r="A8" s="224" t="s">
        <v>67</v>
      </c>
      <c r="B8" s="232" t="s">
        <v>164</v>
      </c>
      <c r="C8" s="63">
        <f>SUM(C9:C11)</f>
        <v>378550.82919438666</v>
      </c>
      <c r="D8" s="64">
        <f>SUM(D9:D11)</f>
        <v>873481.5028703805</v>
      </c>
      <c r="E8" s="89"/>
      <c r="F8" s="106">
        <f>SUM(F9:F11)</f>
        <v>1252032.332064767</v>
      </c>
      <c r="G8" s="105"/>
      <c r="H8" s="67">
        <f>SUM(H9:H11)</f>
        <v>32141.672919999997</v>
      </c>
      <c r="I8" s="106">
        <f>SUM(I9:I11)</f>
        <v>1284174.004984767</v>
      </c>
      <c r="J8" s="102"/>
      <c r="K8" s="106">
        <f>SUM(K9:K11)</f>
        <v>1284174.004984767</v>
      </c>
      <c r="L8" s="143">
        <f>'[2]ел. ен.'!$D$8</f>
        <v>1284174.004984767</v>
      </c>
    </row>
    <row r="9" spans="1:12" s="3" customFormat="1" ht="20.25" customHeight="1">
      <c r="A9" s="224"/>
      <c r="B9" s="231" t="s">
        <v>165</v>
      </c>
      <c r="C9" s="107">
        <f>'[2]ел. ен.'!$E$5</f>
        <v>277446.87613</v>
      </c>
      <c r="D9" s="103">
        <f>'[2]ел. ен.'!$F$5</f>
        <v>640075.72927</v>
      </c>
      <c r="E9" s="108"/>
      <c r="F9" s="102">
        <f>SUM(C9:E9)</f>
        <v>917522.6054</v>
      </c>
      <c r="G9" s="105"/>
      <c r="H9" s="105">
        <f>'[2]ел. ен.'!$G$5</f>
        <v>23696.68892</v>
      </c>
      <c r="I9" s="102">
        <f>SUM(F9:H9)</f>
        <v>941219.29432</v>
      </c>
      <c r="J9" s="102"/>
      <c r="K9" s="102">
        <f>I9+J9</f>
        <v>941219.29432</v>
      </c>
      <c r="L9" s="142"/>
    </row>
    <row r="10" spans="1:12" s="3" customFormat="1" ht="19.5" customHeight="1">
      <c r="A10" s="224"/>
      <c r="B10" s="231" t="s">
        <v>166</v>
      </c>
      <c r="C10" s="109">
        <f>'[2]ел. ен.'!$E$6</f>
        <v>2227.9270643866344</v>
      </c>
      <c r="D10" s="103">
        <f>'[2]ел. ен.'!$F$6</f>
        <v>5296.719600380464</v>
      </c>
      <c r="E10" s="89"/>
      <c r="F10" s="102">
        <f>SUM(C10:E10)</f>
        <v>7524.646664767099</v>
      </c>
      <c r="G10" s="105"/>
      <c r="H10" s="105"/>
      <c r="I10" s="102">
        <f>SUM(F10:H10)</f>
        <v>7524.646664767099</v>
      </c>
      <c r="J10" s="102"/>
      <c r="K10" s="102">
        <f>I10+J10</f>
        <v>7524.646664767099</v>
      </c>
      <c r="L10" s="142"/>
    </row>
    <row r="11" spans="1:12" s="3" customFormat="1" ht="22.5" customHeight="1">
      <c r="A11" s="224"/>
      <c r="B11" s="231" t="s">
        <v>168</v>
      </c>
      <c r="C11" s="109">
        <f>'[2]ел. ен.'!$E$7</f>
        <v>98876.026</v>
      </c>
      <c r="D11" s="103">
        <f>'[2]ел. ен.'!$F$7</f>
        <v>228109.05399999997</v>
      </c>
      <c r="E11" s="89"/>
      <c r="F11" s="102">
        <f>SUM(C11:E11)</f>
        <v>326985.07999999996</v>
      </c>
      <c r="G11" s="105"/>
      <c r="H11" s="105">
        <f>'[2]ел. ен.'!$G$7</f>
        <v>8444.983999999999</v>
      </c>
      <c r="I11" s="102">
        <f>SUM(F11:H11)</f>
        <v>335430.06399999995</v>
      </c>
      <c r="J11" s="102"/>
      <c r="K11" s="102">
        <f>I11+J11</f>
        <v>335430.06399999995</v>
      </c>
      <c r="L11" s="142"/>
    </row>
    <row r="12" spans="1:12" s="3" customFormat="1" ht="24.75" customHeight="1">
      <c r="A12" s="225" t="s">
        <v>95</v>
      </c>
      <c r="B12" s="232" t="s">
        <v>173</v>
      </c>
      <c r="C12" s="123">
        <f>SUM(C13:C14)</f>
        <v>33931.701</v>
      </c>
      <c r="D12" s="64">
        <f>SUM(D13:D14)</f>
        <v>25119.369</v>
      </c>
      <c r="E12" s="89"/>
      <c r="F12" s="106">
        <f>SUM(F13:F14)</f>
        <v>59051.07</v>
      </c>
      <c r="G12" s="105"/>
      <c r="H12" s="67">
        <f>SUM(H13:H14)</f>
        <v>1240.8</v>
      </c>
      <c r="I12" s="106">
        <f>SUM(I13:I14)</f>
        <v>60291.87</v>
      </c>
      <c r="J12" s="102"/>
      <c r="K12" s="106">
        <f>SUM(K13:K14)</f>
        <v>60291.87</v>
      </c>
      <c r="L12" s="143">
        <f>'[3]вода, водовідвед.'!$D$8</f>
        <v>60291.87</v>
      </c>
    </row>
    <row r="13" spans="1:13" s="3" customFormat="1" ht="24.75" customHeight="1">
      <c r="A13" s="224"/>
      <c r="B13" s="233" t="s">
        <v>174</v>
      </c>
      <c r="C13" s="109">
        <f>'[3]вода, водовідвед.'!$E$6</f>
        <v>21460.14</v>
      </c>
      <c r="D13" s="103">
        <f>'[3]вода, водовідвед.'!$F$6</f>
        <v>25119.369</v>
      </c>
      <c r="E13" s="89"/>
      <c r="F13" s="102">
        <f>SUM(C13:E13)</f>
        <v>46579.509</v>
      </c>
      <c r="G13" s="105"/>
      <c r="H13" s="105">
        <f>'[3]вода, водовідвед.'!$G$6</f>
        <v>611.4</v>
      </c>
      <c r="I13" s="102">
        <f>SUM(F13:H13)</f>
        <v>47190.909</v>
      </c>
      <c r="J13" s="102"/>
      <c r="K13" s="102">
        <f>I13+J13</f>
        <v>47190.909</v>
      </c>
      <c r="L13" s="142"/>
      <c r="M13" s="49"/>
    </row>
    <row r="14" spans="1:13" s="3" customFormat="1" ht="24.75" customHeight="1">
      <c r="A14" s="224"/>
      <c r="B14" s="233" t="s">
        <v>175</v>
      </c>
      <c r="C14" s="109">
        <f>'[3]вода, водовідвед.'!$E$7</f>
        <v>12471.561000000002</v>
      </c>
      <c r="D14" s="64"/>
      <c r="E14" s="89"/>
      <c r="F14" s="105">
        <f>SUM(C14:E14)</f>
        <v>12471.561000000002</v>
      </c>
      <c r="G14" s="105"/>
      <c r="H14" s="105">
        <f>'[3]вода, водовідвед.'!$G$7</f>
        <v>629.4</v>
      </c>
      <c r="I14" s="102">
        <f>SUM(F14:H14)</f>
        <v>13100.961000000001</v>
      </c>
      <c r="J14" s="102"/>
      <c r="K14" s="102">
        <f>I14+J14</f>
        <v>13100.961000000001</v>
      </c>
      <c r="L14" s="142"/>
      <c r="M14" s="49"/>
    </row>
    <row r="15" spans="1:12" s="3" customFormat="1" ht="21.75" customHeight="1">
      <c r="A15" s="226" t="s">
        <v>96</v>
      </c>
      <c r="B15" s="234" t="s">
        <v>163</v>
      </c>
      <c r="C15" s="123">
        <f aca="true" t="shared" si="0" ref="C15:K15">SUM(C16:C20)</f>
        <v>32932.69</v>
      </c>
      <c r="D15" s="64">
        <f t="shared" si="0"/>
        <v>2791.98</v>
      </c>
      <c r="E15" s="112">
        <f t="shared" si="0"/>
        <v>0</v>
      </c>
      <c r="F15" s="106">
        <f t="shared" si="0"/>
        <v>35724.670000000006</v>
      </c>
      <c r="G15" s="63">
        <f t="shared" si="0"/>
        <v>33127.928472298336</v>
      </c>
      <c r="H15" s="63">
        <f t="shared" si="0"/>
        <v>32758.516148925</v>
      </c>
      <c r="I15" s="123">
        <f t="shared" si="0"/>
        <v>101611.11462122336</v>
      </c>
      <c r="J15" s="67">
        <f t="shared" si="0"/>
        <v>5742.75</v>
      </c>
      <c r="K15" s="67">
        <f t="shared" si="0"/>
        <v>107353.86462122336</v>
      </c>
      <c r="L15" s="142"/>
    </row>
    <row r="16" spans="1:12" s="3" customFormat="1" ht="18.75" customHeight="1">
      <c r="A16" s="223" t="s">
        <v>97</v>
      </c>
      <c r="B16" s="231" t="s">
        <v>27</v>
      </c>
      <c r="C16" s="109">
        <f>'[4]Сіль'!$G$10</f>
        <v>16414.2</v>
      </c>
      <c r="D16" s="108"/>
      <c r="E16" s="110"/>
      <c r="F16" s="105">
        <f aca="true" t="shared" si="1" ref="F16:F21">SUM(C16:E16)</f>
        <v>16414.2</v>
      </c>
      <c r="G16" s="105"/>
      <c r="H16" s="105"/>
      <c r="I16" s="102">
        <f aca="true" t="shared" si="2" ref="I16:I21">SUM(F16:H16)</f>
        <v>16414.2</v>
      </c>
      <c r="J16" s="102"/>
      <c r="K16" s="102">
        <f aca="true" t="shared" si="3" ref="K16:K21">I16+J16</f>
        <v>16414.2</v>
      </c>
      <c r="L16" s="144">
        <f>'[4]Сіль'!$G$10</f>
        <v>16414.2</v>
      </c>
    </row>
    <row r="17" spans="1:12" s="3" customFormat="1" ht="18.75" customHeight="1">
      <c r="A17" s="223" t="s">
        <v>98</v>
      </c>
      <c r="B17" s="231" t="s">
        <v>11</v>
      </c>
      <c r="C17" s="109"/>
      <c r="D17" s="108"/>
      <c r="E17" s="110"/>
      <c r="F17" s="105">
        <f t="shared" si="1"/>
        <v>0</v>
      </c>
      <c r="G17" s="105">
        <f>'[4]Розрахунок обсягу витрат пально'!$K$7+'[4]Розрахунок обсягу витрат пально'!$K$8+'[4]Розрахунок обсягу витрат пально'!$K$10+'[4]Розрахунок обсягу витрат пально'!$K$11+'[4]мастильні матеріали'!$O$7+'[4]мастильні матеріали'!$O$8+'[4]мастильні матеріали'!$O$10+'[4]мастильні матеріали'!$O$11</f>
        <v>31994.620138965005</v>
      </c>
      <c r="H17" s="105">
        <f>'[4]Розрахунок обсягу витрат пально'!$K$9+'[4]мастильні матеріали'!$O$9</f>
        <v>24808.126148925</v>
      </c>
      <c r="I17" s="102">
        <f t="shared" si="2"/>
        <v>56802.746287890004</v>
      </c>
      <c r="J17" s="102"/>
      <c r="K17" s="102">
        <f t="shared" si="3"/>
        <v>56802.746287890004</v>
      </c>
      <c r="L17" s="143">
        <f>'[4]Розрахунок обсягу витрат пально'!$K$12+'[4]мастильні матеріали'!$O$12</f>
        <v>56802.746287890004</v>
      </c>
    </row>
    <row r="18" spans="1:12" s="3" customFormat="1" ht="21.75" customHeight="1">
      <c r="A18" s="223" t="s">
        <v>99</v>
      </c>
      <c r="B18" s="231" t="s">
        <v>170</v>
      </c>
      <c r="C18" s="109">
        <f>'[4]спецодяг та взуття'!$J$16</f>
        <v>15596.529999999999</v>
      </c>
      <c r="D18" s="108">
        <f>'[4]спецодяг та взуття'!$K$16</f>
        <v>2366.46</v>
      </c>
      <c r="E18" s="110"/>
      <c r="F18" s="105">
        <f t="shared" si="1"/>
        <v>17962.989999999998</v>
      </c>
      <c r="G18" s="105">
        <f>'[4]спецодяг та взуття'!$L$16</f>
        <v>435</v>
      </c>
      <c r="H18" s="105"/>
      <c r="I18" s="102">
        <f t="shared" si="2"/>
        <v>18397.989999999998</v>
      </c>
      <c r="J18" s="102"/>
      <c r="K18" s="102">
        <f t="shared" si="3"/>
        <v>18397.989999999998</v>
      </c>
      <c r="L18" s="143">
        <f>'[4]спецодяг та взуття'!$I$16</f>
        <v>18397.989999999998</v>
      </c>
    </row>
    <row r="19" spans="1:12" s="3" customFormat="1" ht="21.75" customHeight="1">
      <c r="A19" s="223"/>
      <c r="B19" s="231" t="s">
        <v>169</v>
      </c>
      <c r="C19" s="109">
        <f>'[4]мило'!$G$12</f>
        <v>921.9600000000002</v>
      </c>
      <c r="D19" s="108">
        <f>'[4]мило'!$H$12</f>
        <v>425.52</v>
      </c>
      <c r="E19" s="110"/>
      <c r="F19" s="105">
        <f t="shared" si="1"/>
        <v>1347.48</v>
      </c>
      <c r="G19" s="105">
        <f>'[4]аптечки'!$F$18</f>
        <v>698.3083333333334</v>
      </c>
      <c r="H19" s="105">
        <f>'[4]мило'!$I$12</f>
        <v>212.76</v>
      </c>
      <c r="I19" s="102">
        <f t="shared" si="2"/>
        <v>2258.548333333333</v>
      </c>
      <c r="J19" s="102"/>
      <c r="K19" s="102">
        <f t="shared" si="3"/>
        <v>2258.548333333333</v>
      </c>
      <c r="L19" s="144">
        <f>'[4]аптечки'!$F$18+'[4]мило'!$F$12</f>
        <v>2258.548333333333</v>
      </c>
    </row>
    <row r="20" spans="1:12" s="3" customFormat="1" ht="18.75" customHeight="1">
      <c r="A20" s="223" t="s">
        <v>100</v>
      </c>
      <c r="B20" s="231" t="s">
        <v>90</v>
      </c>
      <c r="C20" s="109"/>
      <c r="D20" s="108"/>
      <c r="E20" s="110"/>
      <c r="F20" s="105">
        <f t="shared" si="1"/>
        <v>0</v>
      </c>
      <c r="G20" s="105"/>
      <c r="H20" s="105">
        <f>'[4]канцтовари'!$F$7</f>
        <v>7737.63</v>
      </c>
      <c r="I20" s="102">
        <f t="shared" si="2"/>
        <v>7737.63</v>
      </c>
      <c r="J20" s="102">
        <f>'[4]канцтовари'!$G$7</f>
        <v>5742.75</v>
      </c>
      <c r="K20" s="102">
        <f t="shared" si="3"/>
        <v>13480.380000000001</v>
      </c>
      <c r="L20" s="143">
        <f>'[4]канцтовари'!$E$7</f>
        <v>13480.380000000001</v>
      </c>
    </row>
    <row r="21" spans="1:12" s="3" customFormat="1" ht="21.75" customHeight="1">
      <c r="A21" s="224" t="s">
        <v>101</v>
      </c>
      <c r="B21" s="235" t="s">
        <v>10</v>
      </c>
      <c r="C21" s="63">
        <f>'[5]Лист1'!$C$40</f>
        <v>34361.04</v>
      </c>
      <c r="D21" s="111">
        <f>'[5]Лист1'!$C$41</f>
        <v>4469.28</v>
      </c>
      <c r="E21" s="112"/>
      <c r="F21" s="106">
        <f t="shared" si="1"/>
        <v>38830.32</v>
      </c>
      <c r="G21" s="67"/>
      <c r="H21" s="67">
        <f>'[5]Лист1'!$C$44</f>
        <v>612.84</v>
      </c>
      <c r="I21" s="106">
        <f t="shared" si="2"/>
        <v>39443.159999999996</v>
      </c>
      <c r="J21" s="106">
        <f>'[5]Лист1'!$C$43</f>
        <v>2343.84</v>
      </c>
      <c r="K21" s="106">
        <f t="shared" si="3"/>
        <v>41787</v>
      </c>
      <c r="L21" s="143">
        <f>'[5]Лист1'!$C$45</f>
        <v>41787</v>
      </c>
    </row>
    <row r="22" spans="1:145" s="29" customFormat="1" ht="39.75" customHeight="1">
      <c r="A22" s="226">
        <v>6</v>
      </c>
      <c r="B22" s="232" t="s">
        <v>102</v>
      </c>
      <c r="C22" s="123">
        <f aca="true" t="shared" si="4" ref="C22:H22">C23+C24</f>
        <v>2034334.2131999994</v>
      </c>
      <c r="D22" s="64">
        <f t="shared" si="4"/>
        <v>335175.6264</v>
      </c>
      <c r="E22" s="112">
        <f t="shared" si="4"/>
        <v>69144.72</v>
      </c>
      <c r="F22" s="67">
        <f t="shared" si="4"/>
        <v>2438654.5595999993</v>
      </c>
      <c r="G22" s="67">
        <f t="shared" si="4"/>
        <v>275723.7576</v>
      </c>
      <c r="H22" s="67">
        <f t="shared" si="4"/>
        <v>1283558.7791999998</v>
      </c>
      <c r="I22" s="67">
        <f>SUM(I23:I24)</f>
        <v>3997937.096399999</v>
      </c>
      <c r="J22" s="67">
        <f>J23+J24</f>
        <v>314330.1696</v>
      </c>
      <c r="K22" s="67">
        <f>K23+K24</f>
        <v>4312267.266</v>
      </c>
      <c r="L22" s="145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</row>
    <row r="23" spans="1:145" s="51" customFormat="1" ht="17.25" customHeight="1">
      <c r="A23" s="223" t="s">
        <v>104</v>
      </c>
      <c r="B23" s="236" t="s">
        <v>9</v>
      </c>
      <c r="C23" s="109">
        <f>'[6]свод'!$H$4</f>
        <v>1667487.0599999996</v>
      </c>
      <c r="D23" s="103">
        <f>'[6]свод'!$H$5</f>
        <v>274734.12</v>
      </c>
      <c r="E23" s="104">
        <f>'[6]свод'!$H$6</f>
        <v>56676</v>
      </c>
      <c r="F23" s="105">
        <f>SUM(C23:E23)</f>
        <v>1998897.1799999997</v>
      </c>
      <c r="G23" s="60">
        <f>'[6]свод'!$H$8</f>
        <v>226003.08000000002</v>
      </c>
      <c r="H23" s="60">
        <f>'[6]свод'!$H$9</f>
        <v>1052097.3599999999</v>
      </c>
      <c r="I23" s="60">
        <f>SUM(F23:H23)</f>
        <v>3276997.6199999996</v>
      </c>
      <c r="J23" s="60">
        <f>'[6]свод'!$H$7</f>
        <v>257647.68</v>
      </c>
      <c r="K23" s="102">
        <f>I23+J23</f>
        <v>3534645.3</v>
      </c>
      <c r="L23" s="143">
        <f>'[6]свод'!$H$10</f>
        <v>3534645.3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51" customFormat="1" ht="18.75" customHeight="1">
      <c r="A24" s="223" t="s">
        <v>105</v>
      </c>
      <c r="B24" s="236" t="s">
        <v>176</v>
      </c>
      <c r="C24" s="109">
        <f>C23*0.22</f>
        <v>366847.1531999999</v>
      </c>
      <c r="D24" s="103">
        <f>D23*0.22</f>
        <v>60441.5064</v>
      </c>
      <c r="E24" s="104">
        <f>E23*0.22</f>
        <v>12468.72</v>
      </c>
      <c r="F24" s="105">
        <f>SUM(C24:E24)</f>
        <v>439757.37959999987</v>
      </c>
      <c r="G24" s="60">
        <f>G23*0.22</f>
        <v>49720.6776</v>
      </c>
      <c r="H24" s="60">
        <f>H23*0.22</f>
        <v>231461.41919999997</v>
      </c>
      <c r="I24" s="60">
        <f>SUM(F24:H24)</f>
        <v>720939.4763999998</v>
      </c>
      <c r="J24" s="60">
        <f>J23*0.22</f>
        <v>56682.4896</v>
      </c>
      <c r="K24" s="102">
        <f>I24+J24</f>
        <v>777621.9659999998</v>
      </c>
      <c r="L24" s="143">
        <f>L23*0.22</f>
        <v>777621.966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28" customFormat="1" ht="24" customHeight="1">
      <c r="A25" s="226">
        <v>7</v>
      </c>
      <c r="B25" s="232" t="s">
        <v>103</v>
      </c>
      <c r="C25" s="123">
        <f aca="true" t="shared" si="5" ref="C25:H25">SUM(C26:C39)</f>
        <v>2233657.994166667</v>
      </c>
      <c r="D25" s="64">
        <f t="shared" si="5"/>
        <v>424.46999999999997</v>
      </c>
      <c r="E25" s="111">
        <f t="shared" si="5"/>
        <v>0</v>
      </c>
      <c r="F25" s="63">
        <f t="shared" si="5"/>
        <v>2234082.464166667</v>
      </c>
      <c r="G25" s="67">
        <f t="shared" si="5"/>
        <v>540264.99</v>
      </c>
      <c r="H25" s="67">
        <f t="shared" si="5"/>
        <v>150088.33</v>
      </c>
      <c r="I25" s="67">
        <f>SUM(I26:I39)</f>
        <v>2924435.7841666667</v>
      </c>
      <c r="J25" s="67">
        <f>SUM(J26:J39)</f>
        <v>3420</v>
      </c>
      <c r="K25" s="67">
        <f>SUM(K26:K39)</f>
        <v>2927855.7841666667</v>
      </c>
      <c r="L25" s="145"/>
      <c r="M25" s="54"/>
      <c r="N25" s="55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</row>
    <row r="26" spans="1:12" s="3" customFormat="1" ht="18.75" customHeight="1">
      <c r="A26" s="223" t="s">
        <v>110</v>
      </c>
      <c r="B26" s="237" t="s">
        <v>12</v>
      </c>
      <c r="C26" s="109">
        <f>'[8]оренда  ОЗ'!$E$13</f>
        <v>1749159</v>
      </c>
      <c r="D26" s="103"/>
      <c r="E26" s="104"/>
      <c r="F26" s="105">
        <f>SUM(C26:E26)</f>
        <v>1749159</v>
      </c>
      <c r="G26" s="105">
        <f>'[8]оренда  ОЗ'!$F$13</f>
        <v>540000</v>
      </c>
      <c r="H26" s="105">
        <f>'[8]оренда  ОЗ'!$G$13</f>
        <v>150000</v>
      </c>
      <c r="I26" s="102">
        <f>SUM(F26:H26)</f>
        <v>2439159</v>
      </c>
      <c r="J26" s="102"/>
      <c r="K26" s="102">
        <f>I26+J26</f>
        <v>2439159</v>
      </c>
      <c r="L26" s="143">
        <f>'[8]оренда  ОЗ'!$D$13</f>
        <v>2439159</v>
      </c>
    </row>
    <row r="27" spans="1:145" s="51" customFormat="1" ht="36" customHeight="1">
      <c r="A27" s="223" t="s">
        <v>111</v>
      </c>
      <c r="B27" s="231" t="s">
        <v>31</v>
      </c>
      <c r="C27" s="109">
        <f>'[8]ТО котлів'!$E$7</f>
        <v>137940</v>
      </c>
      <c r="D27" s="103"/>
      <c r="E27" s="104"/>
      <c r="F27" s="105">
        <f aca="true" t="shared" si="6" ref="F27:F39">SUM(C27:E27)</f>
        <v>137940</v>
      </c>
      <c r="G27" s="105"/>
      <c r="H27" s="105"/>
      <c r="I27" s="102">
        <f aca="true" t="shared" si="7" ref="I27:I39">SUM(F27:H27)</f>
        <v>137940</v>
      </c>
      <c r="J27" s="102"/>
      <c r="K27" s="102">
        <f aca="true" t="shared" si="8" ref="K27:K39">I27+J27</f>
        <v>137940</v>
      </c>
      <c r="L27" s="143">
        <f>'[8]ТО котлів'!$E$7</f>
        <v>137940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s="51" customFormat="1" ht="31.5">
      <c r="A28" s="223" t="s">
        <v>112</v>
      </c>
      <c r="B28" s="231" t="s">
        <v>26</v>
      </c>
      <c r="C28" s="109">
        <f>'[8]експертиза котлів'!$F$7</f>
        <v>25325.007500000003</v>
      </c>
      <c r="D28" s="103"/>
      <c r="E28" s="104"/>
      <c r="F28" s="105">
        <f t="shared" si="6"/>
        <v>25325.007500000003</v>
      </c>
      <c r="G28" s="105"/>
      <c r="H28" s="105"/>
      <c r="I28" s="102">
        <f t="shared" si="7"/>
        <v>25325.007500000003</v>
      </c>
      <c r="J28" s="102"/>
      <c r="K28" s="102">
        <f t="shared" si="8"/>
        <v>25325.007500000003</v>
      </c>
      <c r="L28" s="143">
        <f>'[8]експертиза котлів'!$F$7</f>
        <v>25325.007500000003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s="51" customFormat="1" ht="31.5">
      <c r="A29" s="223" t="s">
        <v>113</v>
      </c>
      <c r="B29" s="238" t="s">
        <v>29</v>
      </c>
      <c r="C29" s="109">
        <f>'[8]РНР'!$F$6</f>
        <v>82137.59999999999</v>
      </c>
      <c r="D29" s="103"/>
      <c r="E29" s="104"/>
      <c r="F29" s="105">
        <f t="shared" si="6"/>
        <v>82137.59999999999</v>
      </c>
      <c r="G29" s="105"/>
      <c r="H29" s="105"/>
      <c r="I29" s="102">
        <f t="shared" si="7"/>
        <v>82137.59999999999</v>
      </c>
      <c r="J29" s="102"/>
      <c r="K29" s="102">
        <f t="shared" si="8"/>
        <v>82137.59999999999</v>
      </c>
      <c r="L29" s="143">
        <f>'[8]РНР'!$F$6</f>
        <v>82137.59999999999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s="51" customFormat="1" ht="31.5">
      <c r="A30" s="223" t="s">
        <v>114</v>
      </c>
      <c r="B30" s="239" t="s">
        <v>30</v>
      </c>
      <c r="C30" s="109">
        <f>'[8]сезонна наладка'!$F$9</f>
        <v>118096</v>
      </c>
      <c r="D30" s="103"/>
      <c r="E30" s="104"/>
      <c r="F30" s="105">
        <f t="shared" si="6"/>
        <v>118096</v>
      </c>
      <c r="G30" s="105"/>
      <c r="H30" s="105"/>
      <c r="I30" s="102">
        <f t="shared" si="7"/>
        <v>118096</v>
      </c>
      <c r="J30" s="102"/>
      <c r="K30" s="102">
        <f t="shared" si="8"/>
        <v>118096</v>
      </c>
      <c r="L30" s="143">
        <f>'[8]сезонна наладка'!$F$9</f>
        <v>118096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s="51" customFormat="1" ht="20.25" customHeight="1">
      <c r="A31" s="223" t="s">
        <v>115</v>
      </c>
      <c r="B31" s="237" t="s">
        <v>108</v>
      </c>
      <c r="C31" s="109">
        <f>'[8]повірка'!$F$30</f>
        <v>64530.486666666664</v>
      </c>
      <c r="D31" s="103"/>
      <c r="E31" s="104"/>
      <c r="F31" s="105">
        <f t="shared" si="6"/>
        <v>64530.486666666664</v>
      </c>
      <c r="G31" s="105"/>
      <c r="H31" s="105"/>
      <c r="I31" s="102">
        <f t="shared" si="7"/>
        <v>64530.486666666664</v>
      </c>
      <c r="J31" s="102"/>
      <c r="K31" s="102">
        <f t="shared" si="8"/>
        <v>64530.486666666664</v>
      </c>
      <c r="L31" s="143">
        <f>'[8]повірка'!$F$27</f>
        <v>5459.280000000001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s="51" customFormat="1" ht="31.5" customHeight="1">
      <c r="A32" s="223" t="s">
        <v>116</v>
      </c>
      <c r="B32" s="231" t="s">
        <v>109</v>
      </c>
      <c r="C32" s="109">
        <f>'[8]ДВК'!$B$7</f>
        <v>16125</v>
      </c>
      <c r="D32" s="103"/>
      <c r="E32" s="104"/>
      <c r="F32" s="105">
        <f t="shared" si="6"/>
        <v>16125</v>
      </c>
      <c r="G32" s="105"/>
      <c r="H32" s="105"/>
      <c r="I32" s="102">
        <f t="shared" si="7"/>
        <v>16125</v>
      </c>
      <c r="J32" s="102"/>
      <c r="K32" s="102">
        <f t="shared" si="8"/>
        <v>16125</v>
      </c>
      <c r="L32" s="143">
        <f>'[8]ДВК'!$B$7</f>
        <v>16125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</row>
    <row r="33" spans="1:145" s="51" customFormat="1" ht="31.5" customHeight="1">
      <c r="A33" s="223"/>
      <c r="B33" s="231" t="s">
        <v>136</v>
      </c>
      <c r="C33" s="109">
        <f>'[8]ел. заміри (Соловьев)'!$C$7</f>
        <v>11330</v>
      </c>
      <c r="D33" s="103"/>
      <c r="E33" s="104"/>
      <c r="F33" s="105">
        <f t="shared" si="6"/>
        <v>11330</v>
      </c>
      <c r="G33" s="105"/>
      <c r="H33" s="105"/>
      <c r="I33" s="102">
        <f t="shared" si="7"/>
        <v>11330</v>
      </c>
      <c r="J33" s="102"/>
      <c r="K33" s="102">
        <f t="shared" si="8"/>
        <v>11330</v>
      </c>
      <c r="L33" s="143">
        <f>'[8]ел. заміри (Соловьев)'!$C$7</f>
        <v>11330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</row>
    <row r="34" spans="1:145" s="51" customFormat="1" ht="31.5" customHeight="1">
      <c r="A34" s="223"/>
      <c r="B34" s="231" t="s">
        <v>135</v>
      </c>
      <c r="C34" s="109">
        <f>'[8]ТО дистанц. передачі газу'!$D$7</f>
        <v>8100</v>
      </c>
      <c r="D34" s="103"/>
      <c r="E34" s="104"/>
      <c r="F34" s="105">
        <f t="shared" si="6"/>
        <v>8100</v>
      </c>
      <c r="G34" s="105"/>
      <c r="H34" s="105"/>
      <c r="I34" s="102">
        <f t="shared" si="7"/>
        <v>8100</v>
      </c>
      <c r="J34" s="102"/>
      <c r="K34" s="102">
        <f t="shared" si="8"/>
        <v>8100</v>
      </c>
      <c r="L34" s="143">
        <f>'[8]ТО дистанц. передачі газу'!$D$7</f>
        <v>8100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s="51" customFormat="1" ht="21" customHeight="1">
      <c r="A35" s="223"/>
      <c r="B35" s="231" t="s">
        <v>137</v>
      </c>
      <c r="C35" s="109">
        <f>'[8]ТО газопроводів'!$C$7</f>
        <v>4628.5</v>
      </c>
      <c r="D35" s="103"/>
      <c r="E35" s="104"/>
      <c r="F35" s="105">
        <f t="shared" si="6"/>
        <v>4628.5</v>
      </c>
      <c r="G35" s="105"/>
      <c r="H35" s="105"/>
      <c r="I35" s="102">
        <f t="shared" si="7"/>
        <v>4628.5</v>
      </c>
      <c r="J35" s="102"/>
      <c r="K35" s="102">
        <f t="shared" si="8"/>
        <v>4628.5</v>
      </c>
      <c r="L35" s="143">
        <f>'[8]ТО газопроводів'!$C$7</f>
        <v>4628.5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s="51" customFormat="1" ht="21" customHeight="1">
      <c r="A36" s="223" t="s">
        <v>117</v>
      </c>
      <c r="B36" s="231" t="s">
        <v>25</v>
      </c>
      <c r="C36" s="109">
        <f>'[8]ТО вогнегасників'!$C$6</f>
        <v>1852.97</v>
      </c>
      <c r="D36" s="103"/>
      <c r="E36" s="104"/>
      <c r="F36" s="105">
        <f t="shared" si="6"/>
        <v>1852.97</v>
      </c>
      <c r="G36" s="105"/>
      <c r="H36" s="105"/>
      <c r="I36" s="102">
        <f t="shared" si="7"/>
        <v>1852.97</v>
      </c>
      <c r="J36" s="102"/>
      <c r="K36" s="102">
        <f t="shared" si="8"/>
        <v>1852.97</v>
      </c>
      <c r="L36" s="143">
        <f>'[8]ТО вогнегасників'!$C$6</f>
        <v>1852.97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</row>
    <row r="37" spans="1:145" s="51" customFormat="1" ht="19.5" customHeight="1">
      <c r="A37" s="223" t="s">
        <v>118</v>
      </c>
      <c r="B37" s="237" t="s">
        <v>17</v>
      </c>
      <c r="C37" s="109"/>
      <c r="D37" s="103"/>
      <c r="E37" s="104"/>
      <c r="F37" s="105">
        <f t="shared" si="6"/>
        <v>0</v>
      </c>
      <c r="G37" s="105"/>
      <c r="H37" s="105"/>
      <c r="I37" s="102">
        <f t="shared" si="7"/>
        <v>0</v>
      </c>
      <c r="J37" s="102">
        <f>'[8]РРО Ріко'!$C$7</f>
        <v>3420</v>
      </c>
      <c r="K37" s="102">
        <f t="shared" si="8"/>
        <v>3420</v>
      </c>
      <c r="L37" s="143">
        <f>'[8]РРО Ріко'!$C$7</f>
        <v>3420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s="51" customFormat="1" ht="18.75" customHeight="1">
      <c r="A38" s="223" t="s">
        <v>119</v>
      </c>
      <c r="B38" s="231" t="s">
        <v>24</v>
      </c>
      <c r="C38" s="109">
        <f>'[8]навчання'!$M$16</f>
        <v>7955.98</v>
      </c>
      <c r="D38" s="103"/>
      <c r="E38" s="104"/>
      <c r="F38" s="105">
        <f t="shared" si="6"/>
        <v>7955.98</v>
      </c>
      <c r="G38" s="105">
        <f>'[8]навчання'!$N$16</f>
        <v>264.99</v>
      </c>
      <c r="H38" s="105">
        <f>'[8]навчання'!$O$16</f>
        <v>88.33</v>
      </c>
      <c r="I38" s="102">
        <f t="shared" si="7"/>
        <v>8309.3</v>
      </c>
      <c r="J38" s="102"/>
      <c r="K38" s="102">
        <f t="shared" si="8"/>
        <v>8309.3</v>
      </c>
      <c r="L38" s="143">
        <f>'[8]навчання'!$L$16</f>
        <v>8309.3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</row>
    <row r="39" spans="1:145" s="51" customFormat="1" ht="33" customHeight="1">
      <c r="A39" s="242" t="s">
        <v>120</v>
      </c>
      <c r="B39" s="231" t="s">
        <v>13</v>
      </c>
      <c r="C39" s="113">
        <f>'[8]мед. огляд'!$G$16</f>
        <v>6477.45</v>
      </c>
      <c r="D39" s="114">
        <f>'[8]мед. огляд'!$H$16</f>
        <v>424.46999999999997</v>
      </c>
      <c r="E39" s="115"/>
      <c r="F39" s="105">
        <f t="shared" si="6"/>
        <v>6901.92</v>
      </c>
      <c r="G39" s="116"/>
      <c r="H39" s="116"/>
      <c r="I39" s="102">
        <f t="shared" si="7"/>
        <v>6901.92</v>
      </c>
      <c r="J39" s="124"/>
      <c r="K39" s="102">
        <f t="shared" si="8"/>
        <v>6901.92</v>
      </c>
      <c r="L39" s="143">
        <f>'[8]мед. огляд'!$F$16</f>
        <v>6901.92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</row>
    <row r="40" spans="1:145" s="51" customFormat="1" ht="24.75" customHeight="1">
      <c r="A40" s="243"/>
      <c r="B40" s="232" t="s">
        <v>171</v>
      </c>
      <c r="C40" s="109"/>
      <c r="D40" s="103"/>
      <c r="E40" s="104"/>
      <c r="F40" s="67"/>
      <c r="G40" s="67">
        <f>G41+G42</f>
        <v>60579.45512899999</v>
      </c>
      <c r="H40" s="105"/>
      <c r="I40" s="67">
        <f>SUM(I41:I42)</f>
        <v>60579.45512899999</v>
      </c>
      <c r="J40" s="105"/>
      <c r="K40" s="67">
        <f>K41+K42</f>
        <v>60579.45512899999</v>
      </c>
      <c r="L40" s="14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</row>
    <row r="41" spans="1:145" s="51" customFormat="1" ht="31.5">
      <c r="A41" s="243"/>
      <c r="B41" s="239" t="s">
        <v>32</v>
      </c>
      <c r="C41" s="109"/>
      <c r="D41" s="103"/>
      <c r="E41" s="104"/>
      <c r="F41" s="67"/>
      <c r="G41" s="105">
        <f>'[7]податок на воду'!$E$14</f>
        <v>934.0975889999999</v>
      </c>
      <c r="H41" s="105"/>
      <c r="I41" s="105">
        <f>SUM(F41:H41)</f>
        <v>934.0975889999999</v>
      </c>
      <c r="J41" s="105"/>
      <c r="K41" s="102">
        <f>I41+J41</f>
        <v>934.0975889999999</v>
      </c>
      <c r="L41" s="143">
        <f>'[7]податок на воду'!$E$14</f>
        <v>934.0975889999999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</row>
    <row r="42" spans="1:145" s="51" customFormat="1" ht="47.25">
      <c r="A42" s="243"/>
      <c r="B42" s="240" t="s">
        <v>35</v>
      </c>
      <c r="C42" s="109"/>
      <c r="D42" s="103"/>
      <c r="E42" s="104"/>
      <c r="F42" s="67"/>
      <c r="G42" s="105">
        <f>'[7]викиди'!$D$16</f>
        <v>59645.35753999999</v>
      </c>
      <c r="H42" s="105"/>
      <c r="I42" s="105">
        <f>SUM(F42:H42)</f>
        <v>59645.35753999999</v>
      </c>
      <c r="J42" s="105"/>
      <c r="K42" s="102">
        <f>I42+J42</f>
        <v>59645.35753999999</v>
      </c>
      <c r="L42" s="143">
        <f>'[7]викиди'!$D$16</f>
        <v>59645.35753999999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</row>
    <row r="43" spans="1:145" s="51" customFormat="1" ht="22.5" customHeight="1">
      <c r="A43" s="244">
        <v>8</v>
      </c>
      <c r="B43" s="232" t="s">
        <v>172</v>
      </c>
      <c r="C43" s="127">
        <f>SUM(C44:C56)</f>
        <v>9900</v>
      </c>
      <c r="D43" s="66">
        <f>SUM(D44:D56)</f>
        <v>3600</v>
      </c>
      <c r="E43" s="126">
        <f>SUM(E44:E55)</f>
        <v>0</v>
      </c>
      <c r="F43" s="65">
        <f>SUM(F44:F56)</f>
        <v>13500</v>
      </c>
      <c r="G43" s="65">
        <f>SUM(G44:G56)</f>
        <v>7768.75</v>
      </c>
      <c r="H43" s="65">
        <f>SUM(H44:H56)</f>
        <v>230530.5398</v>
      </c>
      <c r="I43" s="65">
        <f>SUM(I44:I56)</f>
        <v>251799.2898</v>
      </c>
      <c r="J43" s="68">
        <f>SUM(J44:J56)</f>
        <v>27859.42</v>
      </c>
      <c r="K43" s="68">
        <f>SUM(K44:K60)</f>
        <v>280896.1698</v>
      </c>
      <c r="L43" s="14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</row>
    <row r="44" spans="1:145" s="51" customFormat="1" ht="15.75">
      <c r="A44" s="223" t="s">
        <v>121</v>
      </c>
      <c r="B44" s="236" t="s">
        <v>22</v>
      </c>
      <c r="C44" s="117"/>
      <c r="D44" s="118"/>
      <c r="E44" s="119"/>
      <c r="F44" s="120">
        <f>SUM(C44:E44)</f>
        <v>0</v>
      </c>
      <c r="G44" s="120"/>
      <c r="H44" s="105">
        <f>'[8]послуги банків'!$D$9</f>
        <v>23224.96</v>
      </c>
      <c r="I44" s="102">
        <f>SUM(F44:H44)</f>
        <v>23224.96</v>
      </c>
      <c r="J44" s="102">
        <f>'[8]послуги банків'!$E$9</f>
        <v>8328.34</v>
      </c>
      <c r="K44" s="102">
        <f>I44+J44</f>
        <v>31553.3</v>
      </c>
      <c r="L44" s="143">
        <f>'[8]послуги банків'!$C$9</f>
        <v>31553.3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</row>
    <row r="45" spans="1:145" s="51" customFormat="1" ht="15.75">
      <c r="A45" s="223" t="s">
        <v>122</v>
      </c>
      <c r="B45" s="236" t="s">
        <v>89</v>
      </c>
      <c r="C45" s="117"/>
      <c r="D45" s="118"/>
      <c r="E45" s="119"/>
      <c r="F45" s="120">
        <f aca="true" t="shared" si="9" ref="F45:F55">SUM(C45:E45)</f>
        <v>0</v>
      </c>
      <c r="G45" s="120"/>
      <c r="H45" s="120"/>
      <c r="I45" s="102">
        <f aca="true" t="shared" si="10" ref="I45:I60">SUM(F45:H45)</f>
        <v>0</v>
      </c>
      <c r="J45" s="102">
        <f>'[8]інкасація'!$E$6</f>
        <v>9000</v>
      </c>
      <c r="K45" s="102">
        <f aca="true" t="shared" si="11" ref="K45:K55">I45+J45</f>
        <v>9000</v>
      </c>
      <c r="L45" s="143">
        <f>'[8]інкасація'!$E$6</f>
        <v>9000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s="51" customFormat="1" ht="18.75" customHeight="1">
      <c r="A46" s="223" t="s">
        <v>123</v>
      </c>
      <c r="B46" s="237" t="s">
        <v>177</v>
      </c>
      <c r="C46" s="117"/>
      <c r="D46" s="118"/>
      <c r="E46" s="119"/>
      <c r="F46" s="120">
        <f t="shared" si="9"/>
        <v>0</v>
      </c>
      <c r="G46" s="120"/>
      <c r="H46" s="105">
        <f>'[8]обсл. комп., Медок'!$D$9</f>
        <v>12300</v>
      </c>
      <c r="I46" s="102">
        <f t="shared" si="10"/>
        <v>12300</v>
      </c>
      <c r="J46" s="102"/>
      <c r="K46" s="102">
        <f t="shared" si="11"/>
        <v>12300</v>
      </c>
      <c r="L46" s="143">
        <f>'[8]обсл. комп., Медок'!$D$9</f>
        <v>12300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</row>
    <row r="47" spans="1:145" s="51" customFormat="1" ht="15.75">
      <c r="A47" s="223" t="s">
        <v>124</v>
      </c>
      <c r="B47" s="231" t="s">
        <v>15</v>
      </c>
      <c r="C47" s="117"/>
      <c r="D47" s="118"/>
      <c r="E47" s="119"/>
      <c r="F47" s="120">
        <f t="shared" si="9"/>
        <v>0</v>
      </c>
      <c r="G47" s="120"/>
      <c r="H47" s="120"/>
      <c r="I47" s="102">
        <f t="shared" si="10"/>
        <v>0</v>
      </c>
      <c r="J47" s="102">
        <f>'[8]програмне забезпеч.'!$C$7</f>
        <v>9106.08</v>
      </c>
      <c r="K47" s="102">
        <f t="shared" si="11"/>
        <v>9106.08</v>
      </c>
      <c r="L47" s="143">
        <f>'[8]програмне забезпеч.'!$C$7</f>
        <v>9106.08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</row>
    <row r="48" spans="1:145" s="51" customFormat="1" ht="15.75">
      <c r="A48" s="223" t="s">
        <v>125</v>
      </c>
      <c r="B48" s="236" t="s">
        <v>21</v>
      </c>
      <c r="C48" s="117"/>
      <c r="D48" s="118"/>
      <c r="E48" s="119"/>
      <c r="F48" s="120">
        <f t="shared" si="9"/>
        <v>0</v>
      </c>
      <c r="G48" s="120"/>
      <c r="H48" s="105">
        <f>'[8]обслуг. орг. техніки'!$D$7</f>
        <v>1515</v>
      </c>
      <c r="I48" s="102">
        <f t="shared" si="10"/>
        <v>1515</v>
      </c>
      <c r="J48" s="102">
        <f>'[8]обслуг. орг. техніки'!$E$7</f>
        <v>1425</v>
      </c>
      <c r="K48" s="102">
        <f t="shared" si="11"/>
        <v>2940</v>
      </c>
      <c r="L48" s="143">
        <f>'[8]обслуг. орг. техніки'!$C$7</f>
        <v>2940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s="51" customFormat="1" ht="15.75">
      <c r="A49" s="223" t="s">
        <v>126</v>
      </c>
      <c r="B49" s="236" t="s">
        <v>20</v>
      </c>
      <c r="C49" s="109">
        <f>'[8]послуги зв''язку'!$D$11</f>
        <v>1099.9199999999998</v>
      </c>
      <c r="D49" s="118"/>
      <c r="E49" s="119"/>
      <c r="F49" s="120">
        <f t="shared" si="9"/>
        <v>1099.9199999999998</v>
      </c>
      <c r="G49" s="120"/>
      <c r="H49" s="105">
        <f>'[8]послуги зв''язку'!$E$11</f>
        <v>29377.68</v>
      </c>
      <c r="I49" s="102">
        <f t="shared" si="10"/>
        <v>30477.6</v>
      </c>
      <c r="J49" s="102"/>
      <c r="K49" s="102">
        <f t="shared" si="11"/>
        <v>30477.6</v>
      </c>
      <c r="L49" s="143">
        <f>'[8]послуги зв''язку'!$C$11</f>
        <v>30477.600000000002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</row>
    <row r="50" spans="1:145" s="51" customFormat="1" ht="15.75">
      <c r="A50" s="223" t="s">
        <v>127</v>
      </c>
      <c r="B50" s="236" t="s">
        <v>19</v>
      </c>
      <c r="C50" s="117"/>
      <c r="D50" s="118"/>
      <c r="E50" s="119"/>
      <c r="F50" s="120">
        <f t="shared" si="9"/>
        <v>0</v>
      </c>
      <c r="G50" s="120"/>
      <c r="H50" s="105">
        <f>'[8]передплата'!$C$7</f>
        <v>5760</v>
      </c>
      <c r="I50" s="102">
        <f t="shared" si="10"/>
        <v>5760</v>
      </c>
      <c r="J50" s="102"/>
      <c r="K50" s="102">
        <f t="shared" si="11"/>
        <v>5760</v>
      </c>
      <c r="L50" s="143">
        <f>'[8]передплата'!$C$7</f>
        <v>5760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</row>
    <row r="51" spans="1:145" s="51" customFormat="1" ht="15.75">
      <c r="A51" s="223" t="s">
        <v>128</v>
      </c>
      <c r="B51" s="236" t="s">
        <v>14</v>
      </c>
      <c r="C51" s="109">
        <f>'[8]охорона'!$D$8</f>
        <v>8800.08</v>
      </c>
      <c r="D51" s="103">
        <f>'[8]охорона'!$E$8</f>
        <v>3600</v>
      </c>
      <c r="E51" s="119"/>
      <c r="F51" s="120">
        <f t="shared" si="9"/>
        <v>12400.08</v>
      </c>
      <c r="G51" s="120"/>
      <c r="H51" s="105">
        <f>'[8]охорона'!$F$8</f>
        <v>4999.92</v>
      </c>
      <c r="I51" s="102">
        <f t="shared" si="10"/>
        <v>17400</v>
      </c>
      <c r="J51" s="102"/>
      <c r="K51" s="102">
        <f t="shared" si="11"/>
        <v>17400</v>
      </c>
      <c r="L51" s="143">
        <f>'[8]охорона'!$C$8</f>
        <v>17400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</row>
    <row r="52" spans="1:145" s="51" customFormat="1" ht="15.75">
      <c r="A52" s="223" t="s">
        <v>129</v>
      </c>
      <c r="B52" s="236" t="s">
        <v>23</v>
      </c>
      <c r="C52" s="117"/>
      <c r="D52" s="118"/>
      <c r="E52" s="119"/>
      <c r="F52" s="120">
        <f t="shared" si="9"/>
        <v>0</v>
      </c>
      <c r="G52" s="120"/>
      <c r="H52" s="105">
        <f>'[8]опалення адмін. будівлі'!$C$5</f>
        <v>30890.519800000002</v>
      </c>
      <c r="I52" s="102">
        <f t="shared" si="10"/>
        <v>30890.519800000002</v>
      </c>
      <c r="J52" s="102"/>
      <c r="K52" s="102">
        <f t="shared" si="11"/>
        <v>30890.519800000002</v>
      </c>
      <c r="L52" s="143">
        <f>'[8]опалення адмін. будівлі'!$C$5</f>
        <v>30890.519800000002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</row>
    <row r="53" spans="1:145" s="51" customFormat="1" ht="15.75">
      <c r="A53" s="223" t="s">
        <v>130</v>
      </c>
      <c r="B53" s="236" t="s">
        <v>18</v>
      </c>
      <c r="C53" s="117"/>
      <c r="D53" s="118"/>
      <c r="E53" s="119"/>
      <c r="F53" s="120">
        <f t="shared" si="9"/>
        <v>0</v>
      </c>
      <c r="G53" s="120"/>
      <c r="H53" s="105">
        <f>'[8]юридичні послуги'!$D$7</f>
        <v>120000</v>
      </c>
      <c r="I53" s="102">
        <f t="shared" si="10"/>
        <v>120000</v>
      </c>
      <c r="J53" s="102"/>
      <c r="K53" s="102">
        <f t="shared" si="11"/>
        <v>120000</v>
      </c>
      <c r="L53" s="143">
        <f>'[8]юридичні послуги'!$D$7</f>
        <v>120000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s="51" customFormat="1" ht="15.75">
      <c r="A54" s="223" t="s">
        <v>131</v>
      </c>
      <c r="B54" s="236" t="s">
        <v>107</v>
      </c>
      <c r="C54" s="109"/>
      <c r="D54" s="103"/>
      <c r="E54" s="119"/>
      <c r="F54" s="121">
        <f t="shared" si="9"/>
        <v>0</v>
      </c>
      <c r="G54" s="105">
        <f>'[8]страхування'!$D$17</f>
        <v>4794</v>
      </c>
      <c r="H54" s="105">
        <f>'[8]страхування'!$E$17</f>
        <v>1225</v>
      </c>
      <c r="I54" s="102">
        <f t="shared" si="10"/>
        <v>6019</v>
      </c>
      <c r="J54" s="102"/>
      <c r="K54" s="102">
        <f t="shared" si="11"/>
        <v>6019</v>
      </c>
      <c r="L54" s="143">
        <f>'[8]страхування'!$C$17</f>
        <v>6019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</row>
    <row r="55" spans="1:145" s="51" customFormat="1" ht="31.5">
      <c r="A55" s="223" t="s">
        <v>132</v>
      </c>
      <c r="B55" s="239" t="s">
        <v>16</v>
      </c>
      <c r="C55" s="117"/>
      <c r="D55" s="118"/>
      <c r="E55" s="119"/>
      <c r="F55" s="120">
        <f t="shared" si="9"/>
        <v>0</v>
      </c>
      <c r="G55" s="105">
        <f>'[8]гідромет. обслугов.'!$D$6</f>
        <v>2974.75</v>
      </c>
      <c r="H55" s="120"/>
      <c r="I55" s="102">
        <f t="shared" si="10"/>
        <v>2974.75</v>
      </c>
      <c r="J55" s="125"/>
      <c r="K55" s="102">
        <f t="shared" si="11"/>
        <v>2974.75</v>
      </c>
      <c r="L55" s="143">
        <f>'[8]гідромет. обслугов.'!$D$6</f>
        <v>2974.75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</row>
    <row r="56" spans="1:145" s="51" customFormat="1" ht="16.5" thickBot="1">
      <c r="A56" s="223" t="s">
        <v>133</v>
      </c>
      <c r="B56" s="239" t="s">
        <v>215</v>
      </c>
      <c r="C56" s="117"/>
      <c r="D56" s="118"/>
      <c r="E56" s="119"/>
      <c r="F56" s="120"/>
      <c r="G56" s="121"/>
      <c r="H56" s="105">
        <f>'[8]поштові витрати'!$C$7</f>
        <v>1237.46</v>
      </c>
      <c r="I56" s="102">
        <f t="shared" si="10"/>
        <v>1237.46</v>
      </c>
      <c r="J56" s="125"/>
      <c r="K56" s="102">
        <f>SUM(F56:J56)</f>
        <v>2474.92</v>
      </c>
      <c r="L56" s="14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</row>
    <row r="57" spans="1:145" s="51" customFormat="1" ht="15.75" hidden="1" outlineLevel="1">
      <c r="A57" s="223" t="s">
        <v>134</v>
      </c>
      <c r="B57" s="240"/>
      <c r="C57" s="117"/>
      <c r="D57" s="118"/>
      <c r="E57" s="119"/>
      <c r="F57" s="120"/>
      <c r="G57" s="105"/>
      <c r="H57" s="120"/>
      <c r="I57" s="102">
        <f t="shared" si="10"/>
        <v>0</v>
      </c>
      <c r="J57" s="125"/>
      <c r="K57" s="102">
        <f>SUM(F57:J57)</f>
        <v>0</v>
      </c>
      <c r="L57" s="14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</row>
    <row r="58" spans="1:145" s="51" customFormat="1" ht="15.75" hidden="1" outlineLevel="1">
      <c r="A58" s="227"/>
      <c r="B58" s="240"/>
      <c r="C58" s="117"/>
      <c r="D58" s="118"/>
      <c r="E58" s="119"/>
      <c r="F58" s="122"/>
      <c r="G58" s="120"/>
      <c r="H58" s="120"/>
      <c r="I58" s="102">
        <f t="shared" si="10"/>
        <v>0</v>
      </c>
      <c r="J58" s="125"/>
      <c r="K58" s="102">
        <f>SUM(F58:J58)</f>
        <v>0</v>
      </c>
      <c r="L58" s="14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</row>
    <row r="59" spans="1:145" s="51" customFormat="1" ht="15.75" hidden="1" outlineLevel="1">
      <c r="A59" s="227"/>
      <c r="B59" s="240"/>
      <c r="C59" s="117"/>
      <c r="D59" s="118"/>
      <c r="E59" s="119"/>
      <c r="F59" s="122"/>
      <c r="G59" s="120"/>
      <c r="H59" s="120"/>
      <c r="I59" s="102">
        <f t="shared" si="10"/>
        <v>0</v>
      </c>
      <c r="J59" s="125"/>
      <c r="K59" s="102">
        <f>SUM(F59:J59)</f>
        <v>0</v>
      </c>
      <c r="L59" s="14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</row>
    <row r="60" spans="1:145" s="51" customFormat="1" ht="16.5" hidden="1" outlineLevel="1" thickBot="1">
      <c r="A60" s="228"/>
      <c r="B60" s="241"/>
      <c r="C60" s="129"/>
      <c r="D60" s="130"/>
      <c r="E60" s="131"/>
      <c r="F60" s="132"/>
      <c r="G60" s="133"/>
      <c r="H60" s="133"/>
      <c r="I60" s="102">
        <f t="shared" si="10"/>
        <v>0</v>
      </c>
      <c r="J60" s="134"/>
      <c r="K60" s="124">
        <f>SUM(F60:J60)</f>
        <v>0</v>
      </c>
      <c r="L60" s="14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</row>
    <row r="61" spans="1:12" s="2" customFormat="1" ht="30" customHeight="1" collapsed="1" thickBot="1">
      <c r="A61" s="128"/>
      <c r="B61" s="135" t="s">
        <v>28</v>
      </c>
      <c r="C61" s="139">
        <f aca="true" t="shared" si="12" ref="C61:J61">C4+C8+C12+C15+C21+C22+C25+C40+C43</f>
        <v>19066638.817561056</v>
      </c>
      <c r="D61" s="136">
        <f t="shared" si="12"/>
        <v>1245062.2282703805</v>
      </c>
      <c r="E61" s="140">
        <f t="shared" si="12"/>
        <v>69144.72</v>
      </c>
      <c r="F61" s="138">
        <f t="shared" si="12"/>
        <v>20380845.765831437</v>
      </c>
      <c r="G61" s="137">
        <f t="shared" si="12"/>
        <v>917464.8812012983</v>
      </c>
      <c r="H61" s="138">
        <f t="shared" si="12"/>
        <v>1730931.4780689247</v>
      </c>
      <c r="I61" s="138">
        <f t="shared" si="12"/>
        <v>23029242.12510166</v>
      </c>
      <c r="J61" s="138">
        <f t="shared" si="12"/>
        <v>353696.17960000003</v>
      </c>
      <c r="K61" s="138">
        <f>SUM(I61:J61)</f>
        <v>23382938.30470166</v>
      </c>
      <c r="L61" s="141">
        <f>SUM(L4:L55)</f>
        <v>23322629.638034996</v>
      </c>
    </row>
    <row r="62" spans="3:11" ht="18.75">
      <c r="C62" s="92"/>
      <c r="D62" s="93"/>
      <c r="E62" s="93"/>
      <c r="F62" s="93"/>
      <c r="G62" s="94"/>
      <c r="H62" s="94"/>
      <c r="I62" s="94"/>
      <c r="J62" s="94"/>
      <c r="K62" s="94"/>
    </row>
    <row r="63" spans="3:11" ht="18.75">
      <c r="C63" s="92"/>
      <c r="D63" s="95"/>
      <c r="E63" s="96"/>
      <c r="F63" s="97"/>
      <c r="G63" s="94"/>
      <c r="H63" s="94"/>
      <c r="I63" s="94"/>
      <c r="J63" s="94"/>
      <c r="K63" s="94"/>
    </row>
    <row r="64" spans="2:11" ht="18.75">
      <c r="B64" s="3" t="s">
        <v>88</v>
      </c>
      <c r="C64" s="92"/>
      <c r="D64" s="95"/>
      <c r="E64" s="96"/>
      <c r="F64" s="98"/>
      <c r="G64" s="94"/>
      <c r="H64" s="94"/>
      <c r="I64" s="94"/>
      <c r="J64" s="94" t="s">
        <v>227</v>
      </c>
      <c r="K64" s="94"/>
    </row>
    <row r="65" spans="3:11" ht="18.75">
      <c r="C65" s="92"/>
      <c r="D65" s="95"/>
      <c r="E65" s="96"/>
      <c r="F65" s="96"/>
      <c r="G65" s="94"/>
      <c r="H65" s="94"/>
      <c r="I65" s="94"/>
      <c r="J65" s="94"/>
      <c r="K65" s="94"/>
    </row>
    <row r="66" spans="3:11" ht="18.75">
      <c r="C66" s="92"/>
      <c r="D66" s="95"/>
      <c r="E66" s="93"/>
      <c r="F66" s="93"/>
      <c r="G66" s="94"/>
      <c r="H66" s="94"/>
      <c r="I66" s="94"/>
      <c r="J66" s="94"/>
      <c r="K66" s="94"/>
    </row>
    <row r="67" spans="3:11" ht="15.75">
      <c r="C67" s="94"/>
      <c r="D67" s="94"/>
      <c r="E67" s="94"/>
      <c r="F67" s="94"/>
      <c r="G67" s="94"/>
      <c r="H67" s="94"/>
      <c r="I67" s="94"/>
      <c r="J67" s="94"/>
      <c r="K67" s="94"/>
    </row>
    <row r="68" spans="3:11" ht="15.75">
      <c r="C68" s="94"/>
      <c r="D68" s="94"/>
      <c r="E68" s="94"/>
      <c r="F68" s="94"/>
      <c r="G68" s="94"/>
      <c r="H68" s="94"/>
      <c r="I68" s="94"/>
      <c r="J68" s="94"/>
      <c r="K68" s="94"/>
    </row>
    <row r="69" spans="3:11" ht="15.75">
      <c r="C69" s="94"/>
      <c r="D69" s="94"/>
      <c r="E69" s="94"/>
      <c r="F69" s="94"/>
      <c r="G69" s="94"/>
      <c r="H69" s="94"/>
      <c r="I69" s="94"/>
      <c r="J69" s="94"/>
      <c r="K69" s="94"/>
    </row>
    <row r="70" spans="3:11" ht="15.75">
      <c r="C70" s="94"/>
      <c r="D70" s="94"/>
      <c r="E70" s="94"/>
      <c r="F70" s="94"/>
      <c r="G70" s="94"/>
      <c r="H70" s="94"/>
      <c r="I70" s="94"/>
      <c r="J70" s="94"/>
      <c r="K70" s="94"/>
    </row>
    <row r="71" spans="3:11" ht="15.75">
      <c r="C71" s="94"/>
      <c r="D71" s="94"/>
      <c r="E71" s="94"/>
      <c r="F71" s="94"/>
      <c r="G71" s="94"/>
      <c r="H71" s="94"/>
      <c r="I71" s="94"/>
      <c r="J71" s="94"/>
      <c r="K71" s="94"/>
    </row>
    <row r="72" spans="3:11" ht="15.75">
      <c r="C72" s="94"/>
      <c r="D72" s="94"/>
      <c r="E72" s="94"/>
      <c r="F72" s="94"/>
      <c r="G72" s="94"/>
      <c r="H72" s="94"/>
      <c r="I72" s="94"/>
      <c r="J72" s="94"/>
      <c r="K72" s="94"/>
    </row>
    <row r="75" ht="15.75">
      <c r="G75" s="49"/>
    </row>
    <row r="76" spans="4:7" ht="15.75">
      <c r="D76" s="54"/>
      <c r="G76" s="49"/>
    </row>
    <row r="77" ht="15.75">
      <c r="G77" s="49"/>
    </row>
    <row r="78" ht="15.75">
      <c r="G78" s="49"/>
    </row>
    <row r="79" ht="15.75">
      <c r="G79" s="49"/>
    </row>
    <row r="80" ht="15.75">
      <c r="G80" s="49"/>
    </row>
    <row r="81" spans="5:7" ht="15.75">
      <c r="E81" s="56"/>
      <c r="F81" s="56"/>
      <c r="G81" s="49"/>
    </row>
    <row r="82" spans="5:6" ht="15.75">
      <c r="E82" s="56"/>
      <c r="F82" s="56"/>
    </row>
    <row r="83" spans="5:6" ht="15.75">
      <c r="E83" s="56"/>
      <c r="F83" s="56"/>
    </row>
    <row r="84" spans="5:6" ht="15.75">
      <c r="E84" s="57"/>
      <c r="F84" s="57"/>
    </row>
    <row r="85" spans="5:6" ht="15.75">
      <c r="E85" s="56"/>
      <c r="F85" s="56"/>
    </row>
    <row r="86" spans="5:6" ht="15.75">
      <c r="E86" s="49"/>
      <c r="F86" s="49"/>
    </row>
    <row r="87" spans="5:6" ht="15.75">
      <c r="E87" s="49"/>
      <c r="F87" s="49"/>
    </row>
  </sheetData>
  <sheetProtection/>
  <mergeCells count="9">
    <mergeCell ref="A1:K1"/>
    <mergeCell ref="B2:B3"/>
    <mergeCell ref="A2:A3"/>
    <mergeCell ref="G2:G3"/>
    <mergeCell ref="H2:H3"/>
    <mergeCell ref="K2:K3"/>
    <mergeCell ref="J2:J3"/>
    <mergeCell ref="C2:F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7.00390625" style="0" customWidth="1"/>
    <col min="2" max="2" width="25.28125" style="0" customWidth="1"/>
    <col min="3" max="3" width="13.00390625" style="0" customWidth="1"/>
    <col min="4" max="5" width="9.28125" style="0" bestFit="1" customWidth="1"/>
    <col min="6" max="6" width="12.00390625" style="0" customWidth="1"/>
    <col min="7" max="7" width="9.28125" style="0" bestFit="1" customWidth="1"/>
    <col min="8" max="8" width="10.7109375" style="0" customWidth="1"/>
    <col min="9" max="9" width="12.57421875" style="0" customWidth="1"/>
    <col min="10" max="11" width="9.28125" style="0" bestFit="1" customWidth="1"/>
    <col min="12" max="12" width="9.8515625" style="0" bestFit="1" customWidth="1"/>
    <col min="13" max="14" width="9.28125" style="0" bestFit="1" customWidth="1"/>
  </cols>
  <sheetData>
    <row r="1" spans="1:14" ht="25.5" customHeight="1" thickBot="1">
      <c r="A1" s="281" t="s">
        <v>161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26.25" customHeight="1" thickBot="1">
      <c r="A2" s="285" t="s">
        <v>138</v>
      </c>
      <c r="B2" s="282" t="s">
        <v>139</v>
      </c>
      <c r="C2" s="285" t="s">
        <v>140</v>
      </c>
      <c r="D2" s="288" t="s">
        <v>141</v>
      </c>
      <c r="E2" s="288" t="s">
        <v>181</v>
      </c>
      <c r="F2" s="291" t="s">
        <v>142</v>
      </c>
      <c r="G2" s="292"/>
      <c r="H2" s="292"/>
      <c r="I2" s="292"/>
      <c r="J2" s="292"/>
      <c r="K2" s="292"/>
      <c r="L2" s="292"/>
      <c r="M2" s="292"/>
      <c r="N2" s="293"/>
    </row>
    <row r="3" spans="1:14" ht="15" customHeight="1">
      <c r="A3" s="286"/>
      <c r="B3" s="283"/>
      <c r="C3" s="286"/>
      <c r="D3" s="289"/>
      <c r="E3" s="289"/>
      <c r="F3" s="294" t="s">
        <v>33</v>
      </c>
      <c r="G3" s="295"/>
      <c r="H3" s="296"/>
      <c r="I3" s="294" t="s">
        <v>34</v>
      </c>
      <c r="J3" s="295"/>
      <c r="K3" s="296"/>
      <c r="L3" s="297" t="s">
        <v>143</v>
      </c>
      <c r="M3" s="298"/>
      <c r="N3" s="299"/>
    </row>
    <row r="4" spans="1:14" ht="65.25" customHeight="1" thickBot="1">
      <c r="A4" s="287"/>
      <c r="B4" s="284"/>
      <c r="C4" s="287"/>
      <c r="D4" s="290"/>
      <c r="E4" s="290"/>
      <c r="F4" s="69" t="s">
        <v>144</v>
      </c>
      <c r="G4" s="70" t="s">
        <v>141</v>
      </c>
      <c r="H4" s="71" t="s">
        <v>181</v>
      </c>
      <c r="I4" s="72" t="s">
        <v>144</v>
      </c>
      <c r="J4" s="73" t="s">
        <v>141</v>
      </c>
      <c r="K4" s="71" t="s">
        <v>181</v>
      </c>
      <c r="L4" s="74" t="s">
        <v>144</v>
      </c>
      <c r="M4" s="73" t="s">
        <v>141</v>
      </c>
      <c r="N4" s="71" t="s">
        <v>181</v>
      </c>
    </row>
    <row r="5" spans="1:14" ht="24" customHeight="1">
      <c r="A5" s="75" t="s">
        <v>45</v>
      </c>
      <c r="B5" s="76" t="s">
        <v>91</v>
      </c>
      <c r="C5" s="195">
        <f>Собівартість!I5</f>
        <v>11808015.31</v>
      </c>
      <c r="D5" s="148">
        <f>C5/C20</f>
        <v>666.2515000231336</v>
      </c>
      <c r="E5" s="149">
        <f>D5/D19*100</f>
        <v>51.274007393970535</v>
      </c>
      <c r="F5" s="189">
        <f>C5/C20*F20</f>
        <v>7500519.474445434</v>
      </c>
      <c r="G5" s="150">
        <f>F5/F20</f>
        <v>666.2515000231336</v>
      </c>
      <c r="H5" s="151">
        <f>G5/G19*100</f>
        <v>51.27400739397054</v>
      </c>
      <c r="I5" s="152">
        <f>C5/C20*I20</f>
        <v>4115322.2528878925</v>
      </c>
      <c r="J5" s="150">
        <f>I5/I20</f>
        <v>666.2515000231336</v>
      </c>
      <c r="K5" s="151">
        <f>J5/J19*100</f>
        <v>51.27400739397054</v>
      </c>
      <c r="L5" s="153">
        <f>C5-F5-I5</f>
        <v>192173.5826666737</v>
      </c>
      <c r="M5" s="150">
        <f>L5/L20</f>
        <v>666.2515000231372</v>
      </c>
      <c r="N5" s="154">
        <f>M5/M19*100</f>
        <v>51.27400739397058</v>
      </c>
    </row>
    <row r="6" spans="1:14" ht="33.75" customHeight="1">
      <c r="A6" s="77" t="s">
        <v>58</v>
      </c>
      <c r="B6" s="79" t="s">
        <v>146</v>
      </c>
      <c r="C6" s="158">
        <f>Собівартість!I6</f>
        <v>345740.9</v>
      </c>
      <c r="D6" s="155">
        <f>C6/C20</f>
        <v>19.50796871420624</v>
      </c>
      <c r="E6" s="156">
        <f>D6/D19*100</f>
        <v>1.501312540472818</v>
      </c>
      <c r="F6" s="153">
        <f>C6/C20*F20</f>
        <v>219616.61511110386</v>
      </c>
      <c r="G6" s="157">
        <f>F6/F20</f>
        <v>19.50796871420624</v>
      </c>
      <c r="H6" s="156">
        <f>G6/G19*100</f>
        <v>1.5013125404728183</v>
      </c>
      <c r="I6" s="158">
        <f>C6/C20*I20</f>
        <v>120497.40639297052</v>
      </c>
      <c r="J6" s="157">
        <f>I6/I20</f>
        <v>19.50796871420624</v>
      </c>
      <c r="K6" s="159">
        <f>J6/J19*100</f>
        <v>1.5013125404728183</v>
      </c>
      <c r="L6" s="153">
        <f>C6-F6-I6</f>
        <v>5626.8784959256445</v>
      </c>
      <c r="M6" s="157">
        <f>L6/L20</f>
        <v>19.50796871420623</v>
      </c>
      <c r="N6" s="160">
        <f>M6/M19*100</f>
        <v>1.5013125404728105</v>
      </c>
    </row>
    <row r="7" spans="1:14" ht="21.75" customHeight="1" thickBot="1">
      <c r="A7" s="77" t="s">
        <v>60</v>
      </c>
      <c r="B7" s="78" t="s">
        <v>145</v>
      </c>
      <c r="C7" s="165">
        <f>Собівартість!I7</f>
        <v>2155214.14</v>
      </c>
      <c r="D7" s="161">
        <f>C7/C20</f>
        <v>121.60508061249017</v>
      </c>
      <c r="E7" s="162">
        <f>D7/D19*100</f>
        <v>9.358597770140413</v>
      </c>
      <c r="F7" s="190">
        <f>C7/C20*F20</f>
        <v>1369004.4604684857</v>
      </c>
      <c r="G7" s="163">
        <f>F7/F20</f>
        <v>121.60508061249016</v>
      </c>
      <c r="H7" s="164">
        <f>G7/G19*100</f>
        <v>9.358597770140413</v>
      </c>
      <c r="I7" s="165">
        <f>C7/C20*I20</f>
        <v>751133.9100796477</v>
      </c>
      <c r="J7" s="163">
        <f>I7/I20</f>
        <v>121.60508061249017</v>
      </c>
      <c r="K7" s="164">
        <f>J7/J19*100</f>
        <v>9.358597770140415</v>
      </c>
      <c r="L7" s="153">
        <f>C7-F7-I7</f>
        <v>35075.76945186674</v>
      </c>
      <c r="M7" s="163">
        <f>L7/L20</f>
        <v>121.60508061249044</v>
      </c>
      <c r="N7" s="166">
        <f>M7/M19*100</f>
        <v>9.358597770140392</v>
      </c>
    </row>
    <row r="8" spans="1:14" ht="31.5" customHeight="1" thickBot="1">
      <c r="A8" s="80"/>
      <c r="B8" s="81" t="s">
        <v>182</v>
      </c>
      <c r="C8" s="171">
        <f>SUM(C5:C7)</f>
        <v>14308970.350000001</v>
      </c>
      <c r="D8" s="167">
        <f>C8/C20</f>
        <v>807.3645493498301</v>
      </c>
      <c r="E8" s="168">
        <f>D8/D19*100</f>
        <v>62.133917704583766</v>
      </c>
      <c r="F8" s="191">
        <f>SUM(F5:F7)</f>
        <v>9089140.550025024</v>
      </c>
      <c r="G8" s="169">
        <f>F8/F20</f>
        <v>807.36454934983</v>
      </c>
      <c r="H8" s="170">
        <f>G8/G19*100</f>
        <v>62.13391770458377</v>
      </c>
      <c r="I8" s="171">
        <f>SUM(I5:I7)</f>
        <v>4986953.56936051</v>
      </c>
      <c r="J8" s="169">
        <f>I8/I20</f>
        <v>807.36454934983</v>
      </c>
      <c r="K8" s="170">
        <f>J8/J19*100</f>
        <v>62.13391770458377</v>
      </c>
      <c r="L8" s="172">
        <f>SUM(L5:L7)</f>
        <v>232876.23061446607</v>
      </c>
      <c r="M8" s="169">
        <f>L8/L20</f>
        <v>807.3645493498339</v>
      </c>
      <c r="N8" s="173">
        <f>M8/M19*100</f>
        <v>62.13391770458379</v>
      </c>
    </row>
    <row r="9" spans="1:14" ht="30" customHeight="1">
      <c r="A9" s="82" t="s">
        <v>69</v>
      </c>
      <c r="B9" s="76" t="s">
        <v>93</v>
      </c>
      <c r="C9" s="158">
        <f>Собівартість!I8</f>
        <v>1284174.004984767</v>
      </c>
      <c r="D9" s="155">
        <f>C9/C20</f>
        <v>72.45780384339763</v>
      </c>
      <c r="E9" s="151">
        <f>D9/D19*100</f>
        <v>5.576275580450081</v>
      </c>
      <c r="F9" s="153">
        <f>C9/C20*F20</f>
        <v>815714.7395301635</v>
      </c>
      <c r="G9" s="157">
        <f>F9/F20</f>
        <v>72.45780384339763</v>
      </c>
      <c r="H9" s="156">
        <f>G9/G19*100</f>
        <v>5.576275580450082</v>
      </c>
      <c r="I9" s="158">
        <f>C9/C20*I20</f>
        <v>447559.5365140138</v>
      </c>
      <c r="J9" s="157">
        <f>I9/I20</f>
        <v>72.45780384339763</v>
      </c>
      <c r="K9" s="156">
        <f>J9/J19*100</f>
        <v>5.576275580450082</v>
      </c>
      <c r="L9" s="153">
        <f aca="true" t="shared" si="0" ref="L9:L17">C9-F9-I9</f>
        <v>20899.728940589703</v>
      </c>
      <c r="M9" s="157">
        <f>L9/L20</f>
        <v>72.45780384339794</v>
      </c>
      <c r="N9" s="160">
        <f>M9/M19*100</f>
        <v>5.576275580450081</v>
      </c>
    </row>
    <row r="10" spans="1:14" ht="26.25" customHeight="1">
      <c r="A10" s="77" t="s">
        <v>70</v>
      </c>
      <c r="B10" s="78" t="s">
        <v>94</v>
      </c>
      <c r="C10" s="158">
        <f>Собівартість!I12</f>
        <v>60291.87</v>
      </c>
      <c r="D10" s="155">
        <f>C10/C20</f>
        <v>3.4018882743724843</v>
      </c>
      <c r="E10" s="156">
        <f>D10/D19*100</f>
        <v>0.261805706294965</v>
      </c>
      <c r="F10" s="153">
        <f>C10/C20*F20</f>
        <v>38297.743796347815</v>
      </c>
      <c r="G10" s="157">
        <f>F10/F20</f>
        <v>3.4018882743724843</v>
      </c>
      <c r="H10" s="156">
        <f>G10/G19*100</f>
        <v>0.2618057062949651</v>
      </c>
      <c r="I10" s="158">
        <f>C10/C20*I20</f>
        <v>21012.88554979219</v>
      </c>
      <c r="J10" s="157">
        <f>I10/I20</f>
        <v>3.401888274372484</v>
      </c>
      <c r="K10" s="156">
        <f>J10/J19*100</f>
        <v>0.2618057062949651</v>
      </c>
      <c r="L10" s="153">
        <f t="shared" si="0"/>
        <v>981.2406538599971</v>
      </c>
      <c r="M10" s="157">
        <f>L10/L20</f>
        <v>3.4018882743724763</v>
      </c>
      <c r="N10" s="160">
        <f>M10/M19*100</f>
        <v>0.2618057062949633</v>
      </c>
    </row>
    <row r="11" spans="1:14" ht="17.25" customHeight="1">
      <c r="A11" s="77" t="s">
        <v>147</v>
      </c>
      <c r="B11" s="78" t="s">
        <v>148</v>
      </c>
      <c r="C11" s="158">
        <f>Собівартість!I15</f>
        <v>101611.11462122336</v>
      </c>
      <c r="D11" s="155">
        <f>C11/C20</f>
        <v>5.733271490432428</v>
      </c>
      <c r="E11" s="156">
        <f>D11/D19*100</f>
        <v>0.4412264809638186</v>
      </c>
      <c r="F11" s="153">
        <f>C11/C20*F20</f>
        <v>64543.966452275294</v>
      </c>
      <c r="G11" s="157">
        <f>F11/F20</f>
        <v>5.733271490432428</v>
      </c>
      <c r="H11" s="156">
        <f>G11/G19*100</f>
        <v>0.4412264809638187</v>
      </c>
      <c r="I11" s="158">
        <f>C11/C20*I20</f>
        <v>35413.44334024774</v>
      </c>
      <c r="J11" s="157">
        <f>I11/I20</f>
        <v>5.733271490432428</v>
      </c>
      <c r="K11" s="156">
        <f>J11/J19*100</f>
        <v>0.4412264809638187</v>
      </c>
      <c r="L11" s="153">
        <f t="shared" si="0"/>
        <v>1653.7048287003272</v>
      </c>
      <c r="M11" s="157">
        <f>L11/L20</f>
        <v>5.73327149043242</v>
      </c>
      <c r="N11" s="160">
        <f>M11/M19*100</f>
        <v>0.4412264809638161</v>
      </c>
    </row>
    <row r="12" spans="1:14" ht="20.25" customHeight="1">
      <c r="A12" s="83" t="s">
        <v>149</v>
      </c>
      <c r="B12" s="84" t="s">
        <v>10</v>
      </c>
      <c r="C12" s="158">
        <f>Собівартість!I21</f>
        <v>39443.159999999996</v>
      </c>
      <c r="D12" s="155">
        <f>C12/C20</f>
        <v>2.2255276459031337</v>
      </c>
      <c r="E12" s="156">
        <f>D12/D19*100</f>
        <v>0.17127424248584944</v>
      </c>
      <c r="F12" s="153">
        <f>C12/C20*F20</f>
        <v>25054.52287677184</v>
      </c>
      <c r="G12" s="157">
        <f>F12/F20</f>
        <v>2.2255276459031337</v>
      </c>
      <c r="H12" s="156">
        <f>G12/G19*100</f>
        <v>0.17127424248584946</v>
      </c>
      <c r="I12" s="158">
        <f>C12/C20*I20</f>
        <v>13746.705929043854</v>
      </c>
      <c r="J12" s="157">
        <f>I12/I20</f>
        <v>2.2255276459031337</v>
      </c>
      <c r="K12" s="156">
        <f>J12/J19*100</f>
        <v>0.17127424248584946</v>
      </c>
      <c r="L12" s="153">
        <f t="shared" si="0"/>
        <v>641.9311941843025</v>
      </c>
      <c r="M12" s="157">
        <f>L12/L20</f>
        <v>2.225527645903143</v>
      </c>
      <c r="N12" s="160">
        <f>M12/M19*100</f>
        <v>0.1712742424858494</v>
      </c>
    </row>
    <row r="13" spans="1:14" ht="18" customHeight="1">
      <c r="A13" s="77" t="s">
        <v>150</v>
      </c>
      <c r="B13" s="78" t="s">
        <v>153</v>
      </c>
      <c r="C13" s="158">
        <f>Собівартість!I23</f>
        <v>3276997.6199999996</v>
      </c>
      <c r="D13" s="155">
        <f>C13/C20</f>
        <v>184.9002158769422</v>
      </c>
      <c r="E13" s="156">
        <f>D13/D19*100</f>
        <v>14.229724114229983</v>
      </c>
      <c r="F13" s="153">
        <f>C13/C20*F20</f>
        <v>2081567.8012972814</v>
      </c>
      <c r="G13" s="157">
        <f>F13/F20</f>
        <v>184.9002158769422</v>
      </c>
      <c r="H13" s="156">
        <f>G13/G19*100</f>
        <v>14.229724114229986</v>
      </c>
      <c r="I13" s="158">
        <f>C13/C20*I20</f>
        <v>1142097.200435173</v>
      </c>
      <c r="J13" s="157">
        <f>I13/I20</f>
        <v>184.9002158769422</v>
      </c>
      <c r="K13" s="156">
        <f>J13/J19*100</f>
        <v>14.229724114229986</v>
      </c>
      <c r="L13" s="153">
        <f t="shared" si="0"/>
        <v>53332.618267545244</v>
      </c>
      <c r="M13" s="157">
        <f>L13/L20</f>
        <v>184.90021587694233</v>
      </c>
      <c r="N13" s="160">
        <f>M13/M19*100</f>
        <v>14.22972411422993</v>
      </c>
    </row>
    <row r="14" spans="1:14" ht="28.5" customHeight="1">
      <c r="A14" s="77" t="s">
        <v>151</v>
      </c>
      <c r="B14" s="78" t="s">
        <v>155</v>
      </c>
      <c r="C14" s="158">
        <f>Собівартість!I24</f>
        <v>720939.4763999998</v>
      </c>
      <c r="D14" s="155">
        <f>C14/C20</f>
        <v>40.67804749292728</v>
      </c>
      <c r="E14" s="156">
        <f>D14/D19*100</f>
        <v>3.130539305130595</v>
      </c>
      <c r="F14" s="153">
        <f>C14/C20*F20</f>
        <v>457944.9162854018</v>
      </c>
      <c r="G14" s="157">
        <f>F14/F20</f>
        <v>40.67804749292728</v>
      </c>
      <c r="H14" s="156">
        <f>G14/G19*100</f>
        <v>3.130539305130596</v>
      </c>
      <c r="I14" s="158">
        <f>C14/C20*I20</f>
        <v>251261.384095738</v>
      </c>
      <c r="J14" s="157">
        <f>I14/I20</f>
        <v>40.67804749292728</v>
      </c>
      <c r="K14" s="156">
        <f>J14/J19*100</f>
        <v>3.130539305130596</v>
      </c>
      <c r="L14" s="153">
        <f t="shared" si="0"/>
        <v>11733.176018860016</v>
      </c>
      <c r="M14" s="157">
        <f>L14/L20</f>
        <v>40.67804749292753</v>
      </c>
      <c r="N14" s="160">
        <f>M14/M19*100</f>
        <v>3.1305393051306014</v>
      </c>
    </row>
    <row r="15" spans="1:14" ht="26.25" customHeight="1">
      <c r="A15" s="77" t="s">
        <v>152</v>
      </c>
      <c r="B15" s="78" t="s">
        <v>156</v>
      </c>
      <c r="C15" s="158">
        <f>Собівартість!I25</f>
        <v>2924435.7841666667</v>
      </c>
      <c r="D15" s="155">
        <f>C15/C20</f>
        <v>165.0073849643722</v>
      </c>
      <c r="E15" s="156">
        <f>D15/D19*100</f>
        <v>12.69879298797705</v>
      </c>
      <c r="F15" s="153">
        <f>C15/C20*F20</f>
        <v>1857618.4883780598</v>
      </c>
      <c r="G15" s="157">
        <f>F15/F20</f>
        <v>165.0073849643722</v>
      </c>
      <c r="H15" s="156">
        <f>G15/G19*100</f>
        <v>12.698792987977054</v>
      </c>
      <c r="I15" s="158">
        <f>C15/C20*I20</f>
        <v>1019222.565669483</v>
      </c>
      <c r="J15" s="157">
        <f>I15/I20</f>
        <v>165.0073849643722</v>
      </c>
      <c r="K15" s="156">
        <f>J15/J19*100</f>
        <v>12.698792987977054</v>
      </c>
      <c r="L15" s="153">
        <f t="shared" si="0"/>
        <v>47594.73011912382</v>
      </c>
      <c r="M15" s="157">
        <f>L15/L20</f>
        <v>165.00738496437324</v>
      </c>
      <c r="N15" s="160">
        <f>M15/M19*100</f>
        <v>12.698792987977079</v>
      </c>
    </row>
    <row r="16" spans="1:14" ht="26.25" customHeight="1">
      <c r="A16" s="77" t="s">
        <v>154</v>
      </c>
      <c r="B16" s="146" t="s">
        <v>179</v>
      </c>
      <c r="C16" s="192">
        <f>Собівартість!I40</f>
        <v>60579.45512899999</v>
      </c>
      <c r="D16" s="155">
        <f>C16/C20</f>
        <v>3.418114881346674</v>
      </c>
      <c r="E16" s="156">
        <f>D16/D19*100</f>
        <v>0.2630544887231393</v>
      </c>
      <c r="F16" s="153">
        <f>C16/C20*F20</f>
        <v>38480.41953007578</v>
      </c>
      <c r="G16" s="157">
        <f>F16/F20</f>
        <v>3.4181148813466744</v>
      </c>
      <c r="H16" s="156">
        <f>G16/G19*100</f>
        <v>0.2630544887231394</v>
      </c>
      <c r="I16" s="158">
        <f>C16/C20*I20</f>
        <v>21113.114542548577</v>
      </c>
      <c r="J16" s="157">
        <f>I16/I20</f>
        <v>3.4181148813466744</v>
      </c>
      <c r="K16" s="156">
        <f>J16/J19*100</f>
        <v>0.2630544887231394</v>
      </c>
      <c r="L16" s="153">
        <f t="shared" si="0"/>
        <v>985.9210563756315</v>
      </c>
      <c r="M16" s="157">
        <f>L16/L20</f>
        <v>3.418114881346663</v>
      </c>
      <c r="N16" s="160">
        <f>M16/M19*100</f>
        <v>0.2630544887231373</v>
      </c>
    </row>
    <row r="17" spans="1:14" ht="22.5" customHeight="1" thickBot="1">
      <c r="A17" s="147" t="s">
        <v>178</v>
      </c>
      <c r="B17" s="85" t="s">
        <v>106</v>
      </c>
      <c r="C17" s="174">
        <f>Собівартість!I43</f>
        <v>251799.2898</v>
      </c>
      <c r="D17" s="167">
        <f>C17/C20</f>
        <v>14.207438771859938</v>
      </c>
      <c r="E17" s="162">
        <f>D17/D19*100</f>
        <v>1.0933893891607538</v>
      </c>
      <c r="F17" s="190">
        <f>C17/C20*F20</f>
        <v>159944.3621314571</v>
      </c>
      <c r="G17" s="169">
        <f>F17/F20</f>
        <v>14.207438771859938</v>
      </c>
      <c r="H17" s="170">
        <f>G17/G19*100</f>
        <v>1.093389389160754</v>
      </c>
      <c r="I17" s="174">
        <f>C17/C20*I20</f>
        <v>87756.93402918761</v>
      </c>
      <c r="J17" s="169">
        <f>I17/I20</f>
        <v>14.207438771859938</v>
      </c>
      <c r="K17" s="170">
        <f>J17/J19*100</f>
        <v>1.093389389160754</v>
      </c>
      <c r="L17" s="153">
        <f t="shared" si="0"/>
        <v>4097.993639355278</v>
      </c>
      <c r="M17" s="169">
        <f>L17/L20</f>
        <v>14.207438771859929</v>
      </c>
      <c r="N17" s="173">
        <f>M17/M19*100</f>
        <v>1.0933893891607485</v>
      </c>
    </row>
    <row r="18" spans="1:14" ht="27.75" customHeight="1" thickBot="1">
      <c r="A18" s="86"/>
      <c r="B18" s="87" t="s">
        <v>157</v>
      </c>
      <c r="C18" s="174">
        <f>SUM(C9:C17)</f>
        <v>8720271.775101656</v>
      </c>
      <c r="D18" s="167">
        <f>C18/C20</f>
        <v>492.02969324155396</v>
      </c>
      <c r="E18" s="175">
        <f>D18/D19*100</f>
        <v>37.866082295416234</v>
      </c>
      <c r="F18" s="191">
        <f>SUM(F9:F17)</f>
        <v>5539166.960277834</v>
      </c>
      <c r="G18" s="169">
        <f>F18/F20</f>
        <v>492.02969324155396</v>
      </c>
      <c r="H18" s="170">
        <f>G18/G19*100</f>
        <v>37.86608229541624</v>
      </c>
      <c r="I18" s="176">
        <f>SUM(I9:I17)</f>
        <v>3039183.7701052274</v>
      </c>
      <c r="J18" s="169">
        <f>I18/I20</f>
        <v>492.0296932415539</v>
      </c>
      <c r="K18" s="170">
        <f>J18/J19*100</f>
        <v>37.866082295416234</v>
      </c>
      <c r="L18" s="172">
        <f>SUM(L9:L17)</f>
        <v>141921.04471859435</v>
      </c>
      <c r="M18" s="169">
        <f>L18/L20</f>
        <v>492.0296932415558</v>
      </c>
      <c r="N18" s="173">
        <f>M18/M19*100</f>
        <v>37.866082295416206</v>
      </c>
    </row>
    <row r="19" spans="1:14" ht="21.75" customHeight="1" thickBot="1">
      <c r="A19" s="80" t="s">
        <v>158</v>
      </c>
      <c r="B19" s="81" t="s">
        <v>180</v>
      </c>
      <c r="C19" s="165">
        <f>C8+C18</f>
        <v>23029242.125101656</v>
      </c>
      <c r="D19" s="177">
        <f>C19/C20</f>
        <v>1299.394242591384</v>
      </c>
      <c r="E19" s="162">
        <f>D19/D19*100</f>
        <v>100</v>
      </c>
      <c r="F19" s="191">
        <f>F8+F18</f>
        <v>14628307.510302857</v>
      </c>
      <c r="G19" s="178">
        <f>F19/F20</f>
        <v>1299.3942425913838</v>
      </c>
      <c r="H19" s="159">
        <f>G19/G19*100</f>
        <v>100</v>
      </c>
      <c r="I19" s="179">
        <f>I8+I18</f>
        <v>8026137.339465737</v>
      </c>
      <c r="J19" s="178">
        <f>I19/I20</f>
        <v>1299.3942425913838</v>
      </c>
      <c r="K19" s="159">
        <f>J19/J19*100</f>
        <v>100</v>
      </c>
      <c r="L19" s="180">
        <f>L8+L18</f>
        <v>374797.2753330604</v>
      </c>
      <c r="M19" s="178">
        <f>L19/L20</f>
        <v>1299.3942425913897</v>
      </c>
      <c r="N19" s="181">
        <f>M19/M19*100</f>
        <v>100</v>
      </c>
    </row>
    <row r="20" spans="1:14" ht="33.75" customHeight="1" thickBot="1">
      <c r="A20" s="80" t="s">
        <v>159</v>
      </c>
      <c r="B20" s="81" t="s">
        <v>160</v>
      </c>
      <c r="C20" s="182">
        <f>F20+I20+L20</f>
        <v>17723.06</v>
      </c>
      <c r="D20" s="183"/>
      <c r="E20" s="184"/>
      <c r="F20" s="185">
        <f>'[9]План реализации'!$B$34</f>
        <v>11257.79</v>
      </c>
      <c r="G20" s="186"/>
      <c r="H20" s="184"/>
      <c r="I20" s="182">
        <f>'[9]План реализации'!$E$34</f>
        <v>6176.83</v>
      </c>
      <c r="J20" s="186"/>
      <c r="K20" s="184"/>
      <c r="L20" s="185">
        <f>'[9]План реализации'!$I$34</f>
        <v>288.44</v>
      </c>
      <c r="M20" s="187"/>
      <c r="N20" s="188"/>
    </row>
    <row r="22" ht="15">
      <c r="D22" s="90"/>
    </row>
  </sheetData>
  <sheetProtection/>
  <mergeCells count="10">
    <mergeCell ref="A1:N1"/>
    <mergeCell ref="B2:B4"/>
    <mergeCell ref="A2:A4"/>
    <mergeCell ref="C2:C4"/>
    <mergeCell ref="D2:D4"/>
    <mergeCell ref="E2:E4"/>
    <mergeCell ref="F2:N2"/>
    <mergeCell ref="F3:H3"/>
    <mergeCell ref="I3:K3"/>
    <mergeCell ref="L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3"/>
  <sheetViews>
    <sheetView workbookViewId="0" topLeftCell="B30">
      <selection activeCell="C53" sqref="C53"/>
    </sheetView>
  </sheetViews>
  <sheetFormatPr defaultColWidth="0" defaultRowHeight="15" outlineLevelRow="1"/>
  <cols>
    <col min="1" max="1" width="7.7109375" style="32" customWidth="1"/>
    <col min="2" max="2" width="64.28125" style="32" customWidth="1"/>
    <col min="3" max="3" width="14.57421875" style="32" customWidth="1"/>
    <col min="4" max="4" width="14.7109375" style="32" customWidth="1"/>
    <col min="5" max="5" width="14.28125" style="32" customWidth="1"/>
    <col min="6" max="6" width="14.00390625" style="32" customWidth="1"/>
    <col min="7" max="7" width="14.57421875" style="32" customWidth="1"/>
    <col min="8" max="8" width="13.8515625" style="32" customWidth="1"/>
    <col min="9" max="9" width="14.140625" style="32" customWidth="1"/>
    <col min="10" max="10" width="14.28125" style="32" customWidth="1"/>
    <col min="11" max="11" width="13.421875" style="32" customWidth="1"/>
    <col min="12" max="12" width="12.00390625" style="32" customWidth="1"/>
    <col min="13" max="238" width="9.140625" style="32" customWidth="1"/>
    <col min="239" max="239" width="7.7109375" style="32" customWidth="1"/>
    <col min="240" max="240" width="65.7109375" style="32" customWidth="1"/>
    <col min="241" max="244" width="11.57421875" style="32" hidden="1" customWidth="1"/>
    <col min="245" max="245" width="15.7109375" style="32" customWidth="1"/>
    <col min="246" max="246" width="12.421875" style="32" customWidth="1"/>
    <col min="247" max="247" width="15.28125" style="32" customWidth="1"/>
    <col min="248" max="248" width="11.8515625" style="32" customWidth="1"/>
    <col min="249" max="249" width="0" style="32" hidden="1" customWidth="1"/>
    <col min="250" max="16384" width="11.57421875" style="32" hidden="1" customWidth="1"/>
  </cols>
  <sheetData>
    <row r="1" ht="15.75">
      <c r="J1" s="247" t="s">
        <v>235</v>
      </c>
    </row>
    <row r="2" spans="1:49" ht="20.25" customHeight="1">
      <c r="A2" s="304" t="s">
        <v>216</v>
      </c>
      <c r="B2" s="304"/>
      <c r="C2" s="304"/>
      <c r="D2" s="304"/>
      <c r="E2" s="304"/>
      <c r="F2" s="304"/>
      <c r="G2" s="304"/>
      <c r="H2" s="304"/>
      <c r="I2" s="304"/>
      <c r="J2" s="30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20.25" customHeight="1">
      <c r="A3" s="304" t="s">
        <v>249</v>
      </c>
      <c r="B3" s="304"/>
      <c r="C3" s="304"/>
      <c r="D3" s="304"/>
      <c r="E3" s="304"/>
      <c r="F3" s="304"/>
      <c r="G3" s="304"/>
      <c r="H3" s="304"/>
      <c r="I3" s="304"/>
      <c r="J3" s="304"/>
      <c r="K3" s="303"/>
      <c r="L3" s="30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15.75" customHeight="1">
      <c r="A4" s="4"/>
      <c r="B4" s="306"/>
      <c r="C4" s="306"/>
      <c r="D4" s="306"/>
      <c r="E4" s="306"/>
      <c r="F4" s="306"/>
      <c r="G4" s="306"/>
      <c r="H4" s="306"/>
      <c r="I4" s="5"/>
      <c r="J4" s="6" t="s">
        <v>40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32.25" customHeight="1">
      <c r="A5" s="300" t="s">
        <v>41</v>
      </c>
      <c r="B5" s="300" t="s">
        <v>42</v>
      </c>
      <c r="C5" s="301" t="s">
        <v>217</v>
      </c>
      <c r="D5" s="302"/>
      <c r="E5" s="300" t="s">
        <v>211</v>
      </c>
      <c r="F5" s="300"/>
      <c r="G5" s="300" t="s">
        <v>212</v>
      </c>
      <c r="H5" s="300"/>
      <c r="I5" s="301" t="s">
        <v>213</v>
      </c>
      <c r="J5" s="302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20.25" customHeight="1">
      <c r="A6" s="300"/>
      <c r="B6" s="300"/>
      <c r="C6" s="10" t="s">
        <v>43</v>
      </c>
      <c r="D6" s="10" t="s">
        <v>39</v>
      </c>
      <c r="E6" s="10" t="s">
        <v>43</v>
      </c>
      <c r="F6" s="10" t="s">
        <v>39</v>
      </c>
      <c r="G6" s="10" t="s">
        <v>43</v>
      </c>
      <c r="H6" s="10" t="s">
        <v>39</v>
      </c>
      <c r="I6" s="10" t="s">
        <v>43</v>
      </c>
      <c r="J6" s="10" t="s">
        <v>39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3.5" customHeight="1">
      <c r="A7" s="11">
        <v>1</v>
      </c>
      <c r="B7" s="12">
        <v>2</v>
      </c>
      <c r="C7" s="12"/>
      <c r="D7" s="12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13" s="15" customFormat="1" ht="20.25" customHeight="1">
      <c r="A8" s="7">
        <v>1</v>
      </c>
      <c r="B8" s="14" t="s">
        <v>44</v>
      </c>
      <c r="C8" s="207">
        <v>36008.925030320854</v>
      </c>
      <c r="D8" s="207">
        <v>2168.593126439851</v>
      </c>
      <c r="E8" s="207">
        <v>18608.40075272703</v>
      </c>
      <c r="F8" s="207">
        <v>1759.330239135087</v>
      </c>
      <c r="G8" s="207">
        <v>16295.104952275697</v>
      </c>
      <c r="H8" s="207">
        <v>2838.6261368412265</v>
      </c>
      <c r="I8" s="207">
        <v>1105.419325318124</v>
      </c>
      <c r="J8" s="207">
        <v>3848.015195871912</v>
      </c>
      <c r="K8" s="48"/>
      <c r="L8" s="48"/>
      <c r="M8" s="48"/>
    </row>
    <row r="9" spans="1:13" s="15" customFormat="1" ht="20.25" customHeight="1">
      <c r="A9" s="7" t="s">
        <v>45</v>
      </c>
      <c r="B9" s="14" t="s">
        <v>46</v>
      </c>
      <c r="C9" s="207">
        <v>28840.227791059668</v>
      </c>
      <c r="D9" s="207">
        <v>1736.8671711246106</v>
      </c>
      <c r="E9" s="207">
        <v>14042.04395787684</v>
      </c>
      <c r="F9" s="207">
        <v>1327.6042838198466</v>
      </c>
      <c r="G9" s="207">
        <v>13816.786423048112</v>
      </c>
      <c r="H9" s="207">
        <v>2406.900181525986</v>
      </c>
      <c r="I9" s="207">
        <v>981.397410134715</v>
      </c>
      <c r="J9" s="207">
        <v>3416.2892405566718</v>
      </c>
      <c r="K9" s="48"/>
      <c r="L9" s="48"/>
      <c r="M9" s="48"/>
    </row>
    <row r="10" spans="1:49" s="20" customFormat="1" ht="20.25" customHeight="1">
      <c r="A10" s="17" t="s">
        <v>47</v>
      </c>
      <c r="B10" s="18" t="s">
        <v>236</v>
      </c>
      <c r="C10" s="208">
        <v>27589.73312</v>
      </c>
      <c r="D10" s="208">
        <v>1661.557670881929</v>
      </c>
      <c r="E10" s="208">
        <v>13245.49688</v>
      </c>
      <c r="F10" s="208">
        <v>1252.294783577165</v>
      </c>
      <c r="G10" s="208">
        <v>13384.472989999998</v>
      </c>
      <c r="H10" s="208">
        <v>2331.5906812833045</v>
      </c>
      <c r="I10" s="208">
        <v>959.7632499999999</v>
      </c>
      <c r="J10" s="208">
        <v>3340.97974031399</v>
      </c>
      <c r="K10" s="50"/>
      <c r="L10" s="48"/>
      <c r="M10" s="4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s="20" customFormat="1" ht="20.25" customHeight="1">
      <c r="A11" s="17"/>
      <c r="B11" s="249" t="s">
        <v>237</v>
      </c>
      <c r="C11" s="250">
        <v>22613.2093</v>
      </c>
      <c r="D11" s="250">
        <v>1361.8526577350804</v>
      </c>
      <c r="E11" s="250">
        <v>10101.21155</v>
      </c>
      <c r="F11" s="250">
        <v>955.0184977186304</v>
      </c>
      <c r="G11" s="250">
        <v>11639.295769999999</v>
      </c>
      <c r="H11" s="250">
        <v>2027.578790312325</v>
      </c>
      <c r="I11" s="250">
        <v>872.7019799999999</v>
      </c>
      <c r="J11" s="250">
        <v>3037.915480210255</v>
      </c>
      <c r="K11" s="50"/>
      <c r="L11" s="48"/>
      <c r="M11" s="4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s="20" customFormat="1" ht="20.25" customHeight="1">
      <c r="A12" s="17"/>
      <c r="B12" s="249" t="s">
        <v>238</v>
      </c>
      <c r="C12" s="250">
        <v>345.28025</v>
      </c>
      <c r="D12" s="250">
        <v>20.794077474263375</v>
      </c>
      <c r="E12" s="250">
        <v>223.11981</v>
      </c>
      <c r="F12" s="250">
        <v>21.09485032589643</v>
      </c>
      <c r="G12" s="250">
        <v>116.38597</v>
      </c>
      <c r="H12" s="250">
        <v>20.27457063769818</v>
      </c>
      <c r="I12" s="250">
        <v>5.77447</v>
      </c>
      <c r="J12" s="250">
        <v>20.101193998677203</v>
      </c>
      <c r="K12" s="50"/>
      <c r="L12" s="48"/>
      <c r="M12" s="4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s="20" customFormat="1" ht="20.25" customHeight="1">
      <c r="A13" s="17"/>
      <c r="B13" s="251" t="s">
        <v>239</v>
      </c>
      <c r="C13" s="250">
        <v>4631.24357</v>
      </c>
      <c r="D13" s="250">
        <v>278.9109356725851</v>
      </c>
      <c r="E13" s="250">
        <v>2921.16552</v>
      </c>
      <c r="F13" s="250">
        <v>276.18143553263786</v>
      </c>
      <c r="G13" s="250">
        <v>1628.79125</v>
      </c>
      <c r="H13" s="250">
        <v>283.7373203332816</v>
      </c>
      <c r="I13" s="250">
        <v>81.2868</v>
      </c>
      <c r="J13" s="250">
        <v>282.963066105058</v>
      </c>
      <c r="K13" s="50"/>
      <c r="L13" s="48"/>
      <c r="M13" s="4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s="20" customFormat="1" ht="20.25" customHeight="1">
      <c r="A14" s="17" t="s">
        <v>49</v>
      </c>
      <c r="B14" s="252" t="s">
        <v>50</v>
      </c>
      <c r="C14" s="208">
        <v>1146.9328610596667</v>
      </c>
      <c r="D14" s="208">
        <v>69.07261788258454</v>
      </c>
      <c r="E14" s="208">
        <v>730.579697891739</v>
      </c>
      <c r="F14" s="208">
        <v>69.07261788258454</v>
      </c>
      <c r="G14" s="208">
        <v>396.5106722287977</v>
      </c>
      <c r="H14" s="208">
        <v>69.07261788258454</v>
      </c>
      <c r="I14" s="208">
        <v>19.84249093913006</v>
      </c>
      <c r="J14" s="208">
        <v>69.07261788258454</v>
      </c>
      <c r="K14" s="50"/>
      <c r="L14" s="48"/>
      <c r="M14" s="4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s="20" customFormat="1" ht="20.25" customHeight="1" hidden="1" outlineLevel="1">
      <c r="A15" s="17"/>
      <c r="B15" s="251" t="s">
        <v>240</v>
      </c>
      <c r="C15" s="250">
        <v>752.86901416</v>
      </c>
      <c r="D15" s="250">
        <v>45.340608414223894</v>
      </c>
      <c r="E15" s="250">
        <v>479.56670838507785</v>
      </c>
      <c r="F15" s="250">
        <v>45.340608414223894</v>
      </c>
      <c r="G15" s="250">
        <v>260.2773091957681</v>
      </c>
      <c r="H15" s="250">
        <v>45.340608414223894</v>
      </c>
      <c r="I15" s="250">
        <v>13.024996579154097</v>
      </c>
      <c r="J15" s="250">
        <v>45.340608414223894</v>
      </c>
      <c r="K15" s="50"/>
      <c r="L15" s="48"/>
      <c r="M15" s="4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20" customFormat="1" ht="20.25" customHeight="1" hidden="1" outlineLevel="1">
      <c r="A16" s="17"/>
      <c r="B16" s="251" t="s">
        <v>241</v>
      </c>
      <c r="C16" s="250">
        <v>4.351269648</v>
      </c>
      <c r="D16" s="250">
        <v>0.26204985130751823</v>
      </c>
      <c r="E16" s="250">
        <v>2.771696036282594</v>
      </c>
      <c r="F16" s="250">
        <v>0.26204985130751823</v>
      </c>
      <c r="G16" s="250">
        <v>1.5042945509322951</v>
      </c>
      <c r="H16" s="250">
        <v>0.26204985130751823</v>
      </c>
      <c r="I16" s="250">
        <v>0.07527906078511075</v>
      </c>
      <c r="J16" s="250">
        <v>0.26204985130751823</v>
      </c>
      <c r="K16" s="50"/>
      <c r="L16" s="48"/>
      <c r="M16" s="4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20" customFormat="1" ht="20.25" customHeight="1" hidden="1" outlineLevel="1">
      <c r="A17" s="17"/>
      <c r="B17" s="251" t="s">
        <v>242</v>
      </c>
      <c r="C17" s="250">
        <v>389.71257725166663</v>
      </c>
      <c r="D17" s="250">
        <v>23.46995961705312</v>
      </c>
      <c r="E17" s="250">
        <v>248.24129347037854</v>
      </c>
      <c r="F17" s="250">
        <v>23.46995961705312</v>
      </c>
      <c r="G17" s="250">
        <v>134.72906848209726</v>
      </c>
      <c r="H17" s="250">
        <v>23.469959617053117</v>
      </c>
      <c r="I17" s="250">
        <v>6.74221529919085</v>
      </c>
      <c r="J17" s="250">
        <v>23.46995961705312</v>
      </c>
      <c r="K17" s="50"/>
      <c r="L17" s="48"/>
      <c r="M17" s="4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20" customFormat="1" ht="20.25" customHeight="1" hidden="1" outlineLevel="1" collapsed="1">
      <c r="A18" s="17" t="s">
        <v>51</v>
      </c>
      <c r="B18" s="18" t="s">
        <v>52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50"/>
      <c r="L18" s="48"/>
      <c r="M18" s="4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20" customFormat="1" ht="20.25" customHeight="1" hidden="1" outlineLevel="1">
      <c r="A19" s="17" t="s">
        <v>53</v>
      </c>
      <c r="B19" s="18" t="s">
        <v>54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50"/>
      <c r="L19" s="48"/>
      <c r="M19" s="4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20" customFormat="1" ht="30" customHeight="1" hidden="1" outlineLevel="1">
      <c r="A20" s="21" t="s">
        <v>55</v>
      </c>
      <c r="B20" s="18" t="s">
        <v>56</v>
      </c>
      <c r="C20" s="208">
        <v>0</v>
      </c>
      <c r="D20" s="208">
        <v>0</v>
      </c>
      <c r="E20" s="213">
        <v>0</v>
      </c>
      <c r="F20" s="208">
        <v>0</v>
      </c>
      <c r="G20" s="213">
        <v>0</v>
      </c>
      <c r="H20" s="208">
        <v>0</v>
      </c>
      <c r="I20" s="213">
        <v>0</v>
      </c>
      <c r="J20" s="208">
        <v>0</v>
      </c>
      <c r="K20" s="50"/>
      <c r="L20" s="48"/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20" customFormat="1" ht="20.25" customHeight="1" collapsed="1">
      <c r="A21" s="17" t="s">
        <v>51</v>
      </c>
      <c r="B21" s="18" t="s">
        <v>253</v>
      </c>
      <c r="C21" s="208">
        <v>67.38552</v>
      </c>
      <c r="D21" s="208">
        <v>4.058209884647396</v>
      </c>
      <c r="E21" s="208">
        <v>42.92360478571781</v>
      </c>
      <c r="F21" s="208">
        <v>4.058209884647395</v>
      </c>
      <c r="G21" s="208">
        <v>23.296113260719526</v>
      </c>
      <c r="H21" s="208">
        <v>4.058209884647395</v>
      </c>
      <c r="I21" s="208">
        <v>1.1658019535626571</v>
      </c>
      <c r="J21" s="208">
        <v>4.058209884647395</v>
      </c>
      <c r="K21" s="50"/>
      <c r="L21" s="48"/>
      <c r="M21" s="4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20" customFormat="1" ht="20.25" customHeight="1" hidden="1" outlineLevel="1">
      <c r="A22" s="17"/>
      <c r="B22" s="251" t="s">
        <v>243</v>
      </c>
      <c r="C22" s="250">
        <v>53.480472</v>
      </c>
      <c r="D22" s="250">
        <v>3.2207955077887402</v>
      </c>
      <c r="E22" s="250">
        <v>34.06628966997134</v>
      </c>
      <c r="F22" s="250">
        <v>3.2207955077887394</v>
      </c>
      <c r="G22" s="250">
        <v>18.48894440450618</v>
      </c>
      <c r="H22" s="250">
        <v>3.22079550778874</v>
      </c>
      <c r="I22" s="250">
        <v>0.9252379255224712</v>
      </c>
      <c r="J22" s="250">
        <v>3.22079550778874</v>
      </c>
      <c r="K22" s="50"/>
      <c r="L22" s="48"/>
      <c r="M22" s="4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20" customFormat="1" ht="20.25" customHeight="1" hidden="1" outlineLevel="1">
      <c r="A23" s="17"/>
      <c r="B23" s="251" t="s">
        <v>244</v>
      </c>
      <c r="C23" s="250">
        <v>13.905048</v>
      </c>
      <c r="D23" s="250">
        <v>0.8374143768586562</v>
      </c>
      <c r="E23" s="250">
        <v>8.857315115746468</v>
      </c>
      <c r="F23" s="250">
        <v>0.8374143768586562</v>
      </c>
      <c r="G23" s="250">
        <v>4.807168856213346</v>
      </c>
      <c r="H23" s="250">
        <v>0.837414376858656</v>
      </c>
      <c r="I23" s="250">
        <v>0.24056402804018612</v>
      </c>
      <c r="J23" s="250">
        <v>0.8374143768586562</v>
      </c>
      <c r="K23" s="50"/>
      <c r="L23" s="48"/>
      <c r="M23" s="4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s="20" customFormat="1" ht="20.25" customHeight="1" collapsed="1">
      <c r="A24" s="17" t="s">
        <v>53</v>
      </c>
      <c r="B24" s="18" t="s">
        <v>77</v>
      </c>
      <c r="C24" s="208">
        <v>36.17629</v>
      </c>
      <c r="D24" s="208">
        <v>2.1786724754497815</v>
      </c>
      <c r="E24" s="208">
        <v>23.04377519938283</v>
      </c>
      <c r="F24" s="208">
        <v>2.1786724754497815</v>
      </c>
      <c r="G24" s="208">
        <v>12.506647558594716</v>
      </c>
      <c r="H24" s="208">
        <v>2.1786724754497815</v>
      </c>
      <c r="I24" s="208">
        <v>0.6258672420224587</v>
      </c>
      <c r="J24" s="208">
        <v>2.1786724754497815</v>
      </c>
      <c r="K24" s="50"/>
      <c r="L24" s="48"/>
      <c r="M24" s="4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15" s="15" customFormat="1" ht="30" customHeight="1">
      <c r="A25" s="7" t="s">
        <v>58</v>
      </c>
      <c r="B25" s="14" t="s">
        <v>59</v>
      </c>
      <c r="C25" s="207">
        <v>3077.8566440245163</v>
      </c>
      <c r="D25" s="207">
        <v>185.360122713425</v>
      </c>
      <c r="E25" s="207">
        <v>1960.5503107374416</v>
      </c>
      <c r="F25" s="207">
        <v>185.36012271342497</v>
      </c>
      <c r="G25" s="207">
        <v>1064.057930835189</v>
      </c>
      <c r="H25" s="207">
        <v>185.36012271342497</v>
      </c>
      <c r="I25" s="207">
        <v>53.24840245188559</v>
      </c>
      <c r="J25" s="207">
        <v>185.36012271342497</v>
      </c>
      <c r="K25" s="50"/>
      <c r="L25" s="48"/>
      <c r="M25" s="48"/>
      <c r="O25" s="16"/>
    </row>
    <row r="26" spans="1:49" s="25" customFormat="1" ht="20.25" customHeight="1">
      <c r="A26" s="27" t="s">
        <v>60</v>
      </c>
      <c r="B26" s="14" t="s">
        <v>61</v>
      </c>
      <c r="C26" s="207">
        <v>38.31492</v>
      </c>
      <c r="D26" s="207">
        <v>2.307468831189167</v>
      </c>
      <c r="E26" s="207">
        <v>24.406051678111194</v>
      </c>
      <c r="F26" s="207">
        <v>2.307468831189167</v>
      </c>
      <c r="G26" s="207">
        <v>13.2460017507531</v>
      </c>
      <c r="H26" s="207">
        <v>2.307468831189167</v>
      </c>
      <c r="I26" s="207">
        <v>0.662866571135712</v>
      </c>
      <c r="J26" s="207">
        <v>2.307468831189167</v>
      </c>
      <c r="K26" s="50"/>
      <c r="L26" s="48"/>
      <c r="M26" s="4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5" customFormat="1" ht="20.25" customHeight="1">
      <c r="A27" s="27" t="s">
        <v>63</v>
      </c>
      <c r="B27" s="14" t="s">
        <v>62</v>
      </c>
      <c r="C27" s="207">
        <v>2888.6039103338517</v>
      </c>
      <c r="D27" s="207">
        <v>173.96261009409676</v>
      </c>
      <c r="E27" s="207">
        <v>1839.999047713059</v>
      </c>
      <c r="F27" s="207">
        <v>173.96261009409673</v>
      </c>
      <c r="G27" s="207">
        <v>998.6306236190612</v>
      </c>
      <c r="H27" s="207">
        <v>173.96261009409673</v>
      </c>
      <c r="I27" s="207">
        <v>49.97423900173116</v>
      </c>
      <c r="J27" s="207">
        <v>173.96261009409673</v>
      </c>
      <c r="K27" s="50"/>
      <c r="L27" s="48"/>
      <c r="M27" s="4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13" s="15" customFormat="1" ht="20.25" customHeight="1">
      <c r="A28" s="31" t="s">
        <v>81</v>
      </c>
      <c r="B28" s="14" t="s">
        <v>64</v>
      </c>
      <c r="C28" s="207">
        <v>1163.9217649028146</v>
      </c>
      <c r="D28" s="207">
        <v>70.0957536765294</v>
      </c>
      <c r="E28" s="207">
        <v>741.4013847215779</v>
      </c>
      <c r="F28" s="207">
        <v>70.09575367652938</v>
      </c>
      <c r="G28" s="207">
        <v>402.3839730225802</v>
      </c>
      <c r="H28" s="207">
        <v>70.0957536765294</v>
      </c>
      <c r="I28" s="207">
        <v>20.1364071586566</v>
      </c>
      <c r="J28" s="207">
        <v>70.0957536765294</v>
      </c>
      <c r="K28" s="48"/>
      <c r="L28" s="48"/>
      <c r="M28" s="48"/>
    </row>
    <row r="29" spans="1:49" s="20" customFormat="1" ht="20.25" customHeight="1">
      <c r="A29" s="17" t="s">
        <v>78</v>
      </c>
      <c r="B29" s="18" t="s">
        <v>65</v>
      </c>
      <c r="C29" s="208">
        <v>350.624838232258</v>
      </c>
      <c r="D29" s="208">
        <v>21.11594871297341</v>
      </c>
      <c r="E29" s="208">
        <v>223.34296721814545</v>
      </c>
      <c r="F29" s="208">
        <v>21.115948712973406</v>
      </c>
      <c r="G29" s="208">
        <v>121.2158924273367</v>
      </c>
      <c r="H29" s="208">
        <v>21.115948712973406</v>
      </c>
      <c r="I29" s="208">
        <v>6.06597858677587</v>
      </c>
      <c r="J29" s="208">
        <v>21.115948712973406</v>
      </c>
      <c r="K29" s="19"/>
      <c r="L29" s="48"/>
      <c r="M29" s="48"/>
      <c r="N29" s="19"/>
      <c r="O29" s="22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20" customFormat="1" ht="16.5" customHeight="1">
      <c r="A30" s="17" t="s">
        <v>79</v>
      </c>
      <c r="B30" s="18" t="s">
        <v>66</v>
      </c>
      <c r="C30" s="208">
        <v>813.2969266705566</v>
      </c>
      <c r="D30" s="208">
        <v>48.979804963555985</v>
      </c>
      <c r="E30" s="208">
        <v>518.0584175034323</v>
      </c>
      <c r="F30" s="208">
        <v>48.97980496355598</v>
      </c>
      <c r="G30" s="208">
        <v>281.1680805952435</v>
      </c>
      <c r="H30" s="208">
        <v>48.979804963555985</v>
      </c>
      <c r="I30" s="208">
        <v>14.07042857188073</v>
      </c>
      <c r="J30" s="208">
        <v>48.97980496355599</v>
      </c>
      <c r="K30" s="19"/>
      <c r="L30" s="48"/>
      <c r="M30" s="4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13" s="15" customFormat="1" ht="20.25" customHeight="1">
      <c r="A31" s="7" t="s">
        <v>67</v>
      </c>
      <c r="B31" s="14" t="s">
        <v>68</v>
      </c>
      <c r="C31" s="207">
        <v>2121.542895542948</v>
      </c>
      <c r="D31" s="207">
        <v>127.76730593450714</v>
      </c>
      <c r="E31" s="207">
        <v>1351.3922395231632</v>
      </c>
      <c r="F31" s="207">
        <v>127.76730593450714</v>
      </c>
      <c r="G31" s="207">
        <v>733.4469420439789</v>
      </c>
      <c r="H31" s="207">
        <v>127.76730593450715</v>
      </c>
      <c r="I31" s="207">
        <v>36.70371397580586</v>
      </c>
      <c r="J31" s="207">
        <v>127.76730593450714</v>
      </c>
      <c r="K31" s="48"/>
      <c r="L31" s="48"/>
      <c r="M31" s="48"/>
    </row>
    <row r="32" spans="1:49" s="20" customFormat="1" ht="20.25" customHeight="1">
      <c r="A32" s="17" t="s">
        <v>69</v>
      </c>
      <c r="B32" s="18" t="s">
        <v>65</v>
      </c>
      <c r="C32" s="208">
        <v>1569.865830187097</v>
      </c>
      <c r="D32" s="208">
        <v>94.54323465390588</v>
      </c>
      <c r="E32" s="208">
        <v>999.9819020696692</v>
      </c>
      <c r="F32" s="208">
        <v>94.54323465390587</v>
      </c>
      <c r="G32" s="208">
        <v>542.7244930984001</v>
      </c>
      <c r="H32" s="208">
        <v>94.54323465390588</v>
      </c>
      <c r="I32" s="208">
        <v>27.159435019027537</v>
      </c>
      <c r="J32" s="208">
        <v>94.54323465390587</v>
      </c>
      <c r="K32" s="19"/>
      <c r="L32" s="48"/>
      <c r="M32" s="48"/>
      <c r="N32" s="19"/>
      <c r="O32" s="22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20" customFormat="1" ht="20.25" customHeight="1">
      <c r="A33" s="17" t="s">
        <v>70</v>
      </c>
      <c r="B33" s="252" t="s">
        <v>50</v>
      </c>
      <c r="C33" s="208">
        <v>32.68735825500001</v>
      </c>
      <c r="D33" s="208">
        <v>1.9685558614588372</v>
      </c>
      <c r="E33" s="208">
        <v>20.821375975532888</v>
      </c>
      <c r="F33" s="208">
        <v>1.9685558614588368</v>
      </c>
      <c r="G33" s="208">
        <v>11.300475237145838</v>
      </c>
      <c r="H33" s="208">
        <v>1.9685558614588368</v>
      </c>
      <c r="I33" s="208">
        <v>0.56550704232128</v>
      </c>
      <c r="J33" s="208">
        <v>1.9685558614588368</v>
      </c>
      <c r="K33" s="19"/>
      <c r="L33" s="48"/>
      <c r="M33" s="48"/>
      <c r="N33" s="19"/>
      <c r="O33" s="22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s="20" customFormat="1" ht="20.25" customHeight="1" hidden="1" outlineLevel="1">
      <c r="A34" s="17"/>
      <c r="B34" s="251" t="s">
        <v>240</v>
      </c>
      <c r="C34" s="250">
        <v>21.538329840000003</v>
      </c>
      <c r="D34" s="250">
        <v>1.297119367120473</v>
      </c>
      <c r="E34" s="250">
        <v>13.7196056036459</v>
      </c>
      <c r="F34" s="250">
        <v>1.297119367120473</v>
      </c>
      <c r="G34" s="250">
        <v>7.446100755761405</v>
      </c>
      <c r="H34" s="250">
        <v>1.297119367120473</v>
      </c>
      <c r="I34" s="250">
        <v>0.3726234805926983</v>
      </c>
      <c r="J34" s="250">
        <v>1.297119367120473</v>
      </c>
      <c r="K34" s="19"/>
      <c r="L34" s="48"/>
      <c r="M34" s="48"/>
      <c r="N34" s="19"/>
      <c r="O34" s="22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s="20" customFormat="1" ht="20.25" customHeight="1" hidden="1" outlineLevel="1">
      <c r="A35" s="17"/>
      <c r="B35" s="251" t="s">
        <v>242</v>
      </c>
      <c r="C35" s="250">
        <v>11.149028415</v>
      </c>
      <c r="D35" s="250">
        <v>0.6714364943383637</v>
      </c>
      <c r="E35" s="250">
        <v>7.101770371886985</v>
      </c>
      <c r="F35" s="250">
        <v>0.6714364943383636</v>
      </c>
      <c r="G35" s="250">
        <v>3.8543744813844327</v>
      </c>
      <c r="H35" s="250">
        <v>0.6714364943383636</v>
      </c>
      <c r="I35" s="250">
        <v>0.1928835617285817</v>
      </c>
      <c r="J35" s="250">
        <v>0.6714364943383636</v>
      </c>
      <c r="K35" s="19"/>
      <c r="L35" s="48"/>
      <c r="M35" s="48"/>
      <c r="N35" s="19"/>
      <c r="O35" s="22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s="20" customFormat="1" ht="20.25" customHeight="1" collapsed="1">
      <c r="A36" s="17" t="s">
        <v>147</v>
      </c>
      <c r="B36" s="18" t="s">
        <v>250</v>
      </c>
      <c r="C36" s="208">
        <v>1.467</v>
      </c>
      <c r="D36" s="208">
        <v>0.08834826682019714</v>
      </c>
      <c r="E36" s="250">
        <v>0.9344578511918886</v>
      </c>
      <c r="F36" s="208">
        <v>0.08834826682019714</v>
      </c>
      <c r="G36" s="250">
        <v>0.5071623421986734</v>
      </c>
      <c r="H36" s="208">
        <v>0.08834826682019713</v>
      </c>
      <c r="I36" s="250">
        <v>0.02537980660943803</v>
      </c>
      <c r="J36" s="208">
        <v>0.08834826682019714</v>
      </c>
      <c r="K36" s="19"/>
      <c r="L36" s="48"/>
      <c r="M36" s="48"/>
      <c r="N36" s="19"/>
      <c r="O36" s="22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s="20" customFormat="1" ht="20.25" customHeight="1" hidden="1" outlineLevel="1">
      <c r="A37" s="17"/>
      <c r="B37" s="251" t="s">
        <v>243</v>
      </c>
      <c r="C37" s="250">
        <v>0.7578000000000001</v>
      </c>
      <c r="D37" s="250">
        <v>0.04563757095865399</v>
      </c>
      <c r="E37" s="250">
        <v>0.48270767527826397</v>
      </c>
      <c r="F37" s="250">
        <v>0.045637570958653985</v>
      </c>
      <c r="G37" s="250">
        <v>0.2619820197124436</v>
      </c>
      <c r="H37" s="250">
        <v>0.04563757095865399</v>
      </c>
      <c r="I37" s="250">
        <v>0.01311030500929253</v>
      </c>
      <c r="J37" s="250">
        <v>0.045637570958653985</v>
      </c>
      <c r="K37" s="19"/>
      <c r="L37" s="48"/>
      <c r="M37" s="48"/>
      <c r="N37" s="19"/>
      <c r="O37" s="22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s="20" customFormat="1" ht="20.25" customHeight="1" hidden="1" outlineLevel="1">
      <c r="A38" s="17"/>
      <c r="B38" s="251" t="s">
        <v>244</v>
      </c>
      <c r="C38" s="250">
        <v>0.7092000000000002</v>
      </c>
      <c r="D38" s="250">
        <v>0.04271069586154317</v>
      </c>
      <c r="E38" s="250">
        <v>0.45175017591362476</v>
      </c>
      <c r="F38" s="250">
        <v>0.04271069586154316</v>
      </c>
      <c r="G38" s="250">
        <v>0.2451803224862299</v>
      </c>
      <c r="H38" s="250">
        <v>0.04271069586154316</v>
      </c>
      <c r="I38" s="250">
        <v>0.012269501600145503</v>
      </c>
      <c r="J38" s="250">
        <v>0.04271069586154316</v>
      </c>
      <c r="K38" s="19"/>
      <c r="L38" s="48"/>
      <c r="M38" s="48"/>
      <c r="N38" s="19"/>
      <c r="O38" s="22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s="20" customFormat="1" ht="20.25" customHeight="1" collapsed="1">
      <c r="A39" s="17" t="s">
        <v>149</v>
      </c>
      <c r="B39" s="18" t="s">
        <v>66</v>
      </c>
      <c r="C39" s="208">
        <v>517.5227071008511</v>
      </c>
      <c r="D39" s="208">
        <v>31.167167152322236</v>
      </c>
      <c r="E39" s="208">
        <v>329.6545036267692</v>
      </c>
      <c r="F39" s="208">
        <v>31.167167152322232</v>
      </c>
      <c r="G39" s="208">
        <v>178.91481136623426</v>
      </c>
      <c r="H39" s="208">
        <v>31.167167152322232</v>
      </c>
      <c r="I39" s="208">
        <v>8.953392107847607</v>
      </c>
      <c r="J39" s="208">
        <v>31.167167152322232</v>
      </c>
      <c r="K39" s="19"/>
      <c r="L39" s="48"/>
      <c r="M39" s="4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s="20" customFormat="1" ht="18" customHeight="1" hidden="1" outlineLevel="1">
      <c r="A40" s="17"/>
      <c r="B40" s="14"/>
      <c r="C40" s="207"/>
      <c r="D40" s="207"/>
      <c r="E40" s="207"/>
      <c r="F40" s="207"/>
      <c r="G40" s="207"/>
      <c r="H40" s="207"/>
      <c r="I40" s="207"/>
      <c r="J40" s="207"/>
      <c r="K40" s="19"/>
      <c r="L40" s="48"/>
      <c r="M40" s="4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13" s="15" customFormat="1" ht="20.25" customHeight="1" collapsed="1">
      <c r="A41" s="7">
        <v>3</v>
      </c>
      <c r="B41" s="14" t="s">
        <v>38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L41" s="48"/>
      <c r="M41" s="48"/>
    </row>
    <row r="42" spans="1:13" s="15" customFormat="1" ht="20.25" customHeight="1">
      <c r="A42" s="7">
        <v>4</v>
      </c>
      <c r="B42" s="14" t="s">
        <v>71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L42" s="48"/>
      <c r="M42" s="48"/>
    </row>
    <row r="43" spans="1:13" s="15" customFormat="1" ht="20.25" customHeight="1">
      <c r="A43" s="7">
        <v>5</v>
      </c>
      <c r="B43" s="14" t="s">
        <v>72</v>
      </c>
      <c r="C43" s="207">
        <v>38130.4679258638</v>
      </c>
      <c r="D43" s="207">
        <v>2296.3604323743584</v>
      </c>
      <c r="E43" s="207">
        <v>19959.792992250193</v>
      </c>
      <c r="F43" s="207">
        <v>1887.097545069594</v>
      </c>
      <c r="G43" s="207">
        <v>17028.551894319677</v>
      </c>
      <c r="H43" s="207">
        <v>2966.393442775735</v>
      </c>
      <c r="I43" s="207">
        <v>1142.1230392939299</v>
      </c>
      <c r="J43" s="207">
        <v>3975.7825018064186</v>
      </c>
      <c r="L43" s="48"/>
      <c r="M43" s="48"/>
    </row>
    <row r="44" spans="1:13" s="15" customFormat="1" ht="19.5" customHeight="1">
      <c r="A44" s="7">
        <v>6</v>
      </c>
      <c r="B44" s="23" t="s">
        <v>245</v>
      </c>
      <c r="C44" s="207">
        <v>1882.204686100771</v>
      </c>
      <c r="D44" s="207">
        <v>113.35345727188569</v>
      </c>
      <c r="E44" s="207">
        <v>1198.9372504955895</v>
      </c>
      <c r="F44" s="207">
        <v>113.3534572718857</v>
      </c>
      <c r="G44" s="207">
        <v>650.7043879346871</v>
      </c>
      <c r="H44" s="207">
        <v>113.3534572718857</v>
      </c>
      <c r="I44" s="207">
        <v>32.56304767049444</v>
      </c>
      <c r="J44" s="207">
        <v>113.35345727188515</v>
      </c>
      <c r="K44" s="16"/>
      <c r="L44" s="48"/>
      <c r="M44" s="48"/>
    </row>
    <row r="45" spans="1:13" s="15" customFormat="1" ht="20.25" customHeight="1">
      <c r="A45" s="7"/>
      <c r="B45" s="253" t="s">
        <v>246</v>
      </c>
      <c r="C45" s="250">
        <v>69.87</v>
      </c>
      <c r="D45" s="250">
        <v>4.207834630352539</v>
      </c>
      <c r="E45" s="250">
        <v>44.50618272854619</v>
      </c>
      <c r="F45" s="208">
        <v>4.207834630352539</v>
      </c>
      <c r="G45" s="250">
        <v>24.155032617192447</v>
      </c>
      <c r="H45" s="250">
        <v>4.207834630352539</v>
      </c>
      <c r="I45" s="250">
        <v>1.2087846542613647</v>
      </c>
      <c r="J45" s="250">
        <v>4.207834630352508</v>
      </c>
      <c r="K45" s="16"/>
      <c r="L45" s="48"/>
      <c r="M45" s="48"/>
    </row>
    <row r="46" spans="1:13" s="15" customFormat="1" ht="18.75" customHeight="1">
      <c r="A46" s="7"/>
      <c r="B46" s="253" t="s">
        <v>247</v>
      </c>
      <c r="C46" s="250">
        <v>1525.218717034552</v>
      </c>
      <c r="D46" s="250">
        <v>91.85441729497433</v>
      </c>
      <c r="E46" s="250">
        <v>971.5423346405976</v>
      </c>
      <c r="F46" s="208">
        <v>91.85441729497433</v>
      </c>
      <c r="G46" s="250">
        <v>527.2893639376272</v>
      </c>
      <c r="H46" s="250">
        <v>91.85441729497433</v>
      </c>
      <c r="I46" s="250">
        <v>26.387018456327155</v>
      </c>
      <c r="J46" s="250">
        <v>91.85441729497391</v>
      </c>
      <c r="K46" s="16"/>
      <c r="L46" s="48"/>
      <c r="M46" s="48"/>
    </row>
    <row r="47" spans="1:13" s="15" customFormat="1" ht="20.25" customHeight="1">
      <c r="A47" s="7"/>
      <c r="B47" s="253" t="s">
        <v>248</v>
      </c>
      <c r="C47" s="250">
        <v>287.1159690662193</v>
      </c>
      <c r="D47" s="250">
        <v>17.291205346558833</v>
      </c>
      <c r="E47" s="250">
        <v>182.88873312644586</v>
      </c>
      <c r="F47" s="208">
        <v>17.291205346558833</v>
      </c>
      <c r="G47" s="250">
        <v>99.25999137986751</v>
      </c>
      <c r="H47" s="250">
        <v>17.291205346558833</v>
      </c>
      <c r="I47" s="250">
        <v>4.967244559905922</v>
      </c>
      <c r="J47" s="250">
        <v>17.291205346558716</v>
      </c>
      <c r="K47" s="16"/>
      <c r="L47" s="48"/>
      <c r="M47" s="48"/>
    </row>
    <row r="48" spans="1:13" s="15" customFormat="1" ht="19.5" customHeight="1">
      <c r="A48" s="7">
        <v>7</v>
      </c>
      <c r="B48" s="14" t="s">
        <v>73</v>
      </c>
      <c r="C48" s="207">
        <v>40012.67261196457</v>
      </c>
      <c r="D48" s="214">
        <v>2409.7138896462443</v>
      </c>
      <c r="E48" s="207">
        <v>21158.730242745783</v>
      </c>
      <c r="F48" s="207">
        <v>2000.4510023414796</v>
      </c>
      <c r="G48" s="207">
        <v>17679.256282254362</v>
      </c>
      <c r="H48" s="207">
        <v>3079.746900047621</v>
      </c>
      <c r="I48" s="207">
        <v>1174.6860869644242</v>
      </c>
      <c r="J48" s="207">
        <v>4089.1359590783036</v>
      </c>
      <c r="K48" s="48"/>
      <c r="L48" s="48"/>
      <c r="M48" s="48"/>
    </row>
    <row r="49" spans="1:12" s="15" customFormat="1" ht="17.25" customHeight="1">
      <c r="A49" s="7">
        <v>8</v>
      </c>
      <c r="B49" s="14" t="s">
        <v>87</v>
      </c>
      <c r="C49" s="14"/>
      <c r="D49" s="214">
        <v>2891.656667575493</v>
      </c>
      <c r="E49" s="214"/>
      <c r="F49" s="214">
        <v>2400.5412028097753</v>
      </c>
      <c r="G49" s="214"/>
      <c r="H49" s="214">
        <v>3695.6962800571446</v>
      </c>
      <c r="I49" s="214"/>
      <c r="J49" s="214">
        <v>4906.963150893964</v>
      </c>
      <c r="L49" s="48"/>
    </row>
    <row r="50" spans="1:10" s="15" customFormat="1" ht="20.25" customHeight="1">
      <c r="A50" s="7">
        <v>9</v>
      </c>
      <c r="B50" s="14" t="s">
        <v>74</v>
      </c>
      <c r="C50" s="214">
        <v>16604.739999999998</v>
      </c>
      <c r="D50" s="14"/>
      <c r="E50" s="207">
        <v>10576.98</v>
      </c>
      <c r="F50" s="207"/>
      <c r="G50" s="207">
        <v>5740.49</v>
      </c>
      <c r="H50" s="207"/>
      <c r="I50" s="207">
        <v>287.27</v>
      </c>
      <c r="J50" s="207"/>
    </row>
    <row r="51" spans="1:10" s="15" customFormat="1" ht="20.25" customHeight="1" hidden="1" outlineLevel="1">
      <c r="A51" s="7">
        <v>10</v>
      </c>
      <c r="B51" s="258" t="s">
        <v>75</v>
      </c>
      <c r="C51" s="254">
        <f>C44/C43*100</f>
        <v>4.936222366219839</v>
      </c>
      <c r="D51" s="254"/>
      <c r="E51" s="254">
        <f>E44/E43*100</f>
        <v>6.006761948689056</v>
      </c>
      <c r="F51" s="254"/>
      <c r="G51" s="254">
        <f>G44/G43*100</f>
        <v>3.8212549838236494</v>
      </c>
      <c r="H51" s="254"/>
      <c r="I51" s="254">
        <f>I44/I43*100</f>
        <v>2.8510980472493745</v>
      </c>
      <c r="J51" s="254"/>
    </row>
    <row r="52" spans="1:10" s="15" customFormat="1" ht="12.75" customHeight="1" collapsed="1">
      <c r="A52" s="196"/>
      <c r="B52" s="259"/>
      <c r="C52" s="197"/>
      <c r="D52" s="197"/>
      <c r="E52" s="198"/>
      <c r="F52" s="198"/>
      <c r="G52" s="198"/>
      <c r="H52" s="198"/>
      <c r="I52" s="199"/>
      <c r="J52" s="199"/>
    </row>
    <row r="53" spans="1:11" s="24" customFormat="1" ht="21" customHeight="1">
      <c r="A53" s="305"/>
      <c r="B53" s="305"/>
      <c r="C53" s="255"/>
      <c r="D53" s="255"/>
      <c r="E53" s="255"/>
      <c r="F53" s="256"/>
      <c r="G53" s="248" t="s">
        <v>233</v>
      </c>
      <c r="H53" s="215"/>
      <c r="I53" s="257"/>
      <c r="J53" s="257"/>
      <c r="K53" s="26"/>
    </row>
  </sheetData>
  <sheetProtection/>
  <mergeCells count="11">
    <mergeCell ref="A2:J2"/>
    <mergeCell ref="B4:H4"/>
    <mergeCell ref="A5:A6"/>
    <mergeCell ref="B5:B6"/>
    <mergeCell ref="C5:D5"/>
    <mergeCell ref="E5:F5"/>
    <mergeCell ref="G5:H5"/>
    <mergeCell ref="I5:J5"/>
    <mergeCell ref="K3:L3"/>
    <mergeCell ref="A3:J3"/>
    <mergeCell ref="A53:B53"/>
  </mergeCells>
  <conditionalFormatting sqref="C48 C46:D47 C8:J45 E46:J48">
    <cfRule type="containsText" priority="13" dxfId="6" operator="containsText" stopIfTrue="1" text="Додаток2">
      <formula>NOT(ISERROR(SEARCH("Додаток2",C8)))</formula>
    </cfRule>
    <cfRule type="containsText" priority="14" dxfId="6" operator="containsText" stopIfTrue="1" text="Додаток2">
      <formula>NOT(ISERROR(SEARCH("Додаток2",C8)))</formula>
    </cfRule>
  </conditionalFormatting>
  <conditionalFormatting sqref="C48 C46:D47 C8:J45 E46:J48">
    <cfRule type="containsText" priority="1" dxfId="6" operator="containsText" stopIfTrue="1" text="Додаток2">
      <formula>NOT(ISERROR(SEARCH("Додаток2",C8)))</formula>
    </cfRule>
    <cfRule type="containsText" priority="2" dxfId="6" operator="containsText" stopIfTrue="1" text="Додаток2">
      <formula>NOT(ISERROR(SEARCH("Додаток2",C8)))</formula>
    </cfRule>
  </conditionalFormatting>
  <printOptions/>
  <pageMargins left="0.5905511811023623" right="0" top="0.3937007874015748" bottom="0" header="0" footer="0"/>
  <pageSetup horizontalDpi="600" verticalDpi="600" orientation="landscape" paperSize="9" scale="7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6">
      <selection activeCell="D25" sqref="D25"/>
    </sheetView>
  </sheetViews>
  <sheetFormatPr defaultColWidth="9.140625" defaultRowHeight="15"/>
  <cols>
    <col min="1" max="1" width="5.28125" style="0" customWidth="1"/>
    <col min="2" max="2" width="44.8515625" style="0" customWidth="1"/>
    <col min="3" max="3" width="24.7109375" style="0" customWidth="1"/>
    <col min="4" max="4" width="24.421875" style="0" customWidth="1"/>
  </cols>
  <sheetData>
    <row r="1" ht="15.75">
      <c r="D1" s="247" t="s">
        <v>231</v>
      </c>
    </row>
    <row r="2" spans="1:4" ht="64.5" customHeight="1">
      <c r="A2" s="308" t="s">
        <v>251</v>
      </c>
      <c r="B2" s="308"/>
      <c r="C2" s="308"/>
      <c r="D2" s="308"/>
    </row>
    <row r="3" spans="1:4" ht="66" customHeight="1">
      <c r="A3" s="300" t="s">
        <v>41</v>
      </c>
      <c r="B3" s="300" t="s">
        <v>42</v>
      </c>
      <c r="C3" s="204" t="s">
        <v>205</v>
      </c>
      <c r="D3" s="204" t="s">
        <v>206</v>
      </c>
    </row>
    <row r="4" spans="1:4" ht="18">
      <c r="A4" s="300"/>
      <c r="B4" s="300"/>
      <c r="C4" s="205" t="s">
        <v>39</v>
      </c>
      <c r="D4" s="204" t="s">
        <v>84</v>
      </c>
    </row>
    <row r="5" spans="1:4" ht="15">
      <c r="A5" s="205">
        <v>1</v>
      </c>
      <c r="B5" s="205">
        <v>2</v>
      </c>
      <c r="C5" s="205">
        <v>3</v>
      </c>
      <c r="D5" s="204">
        <v>4</v>
      </c>
    </row>
    <row r="6" spans="1:4" ht="24.75" customHeight="1">
      <c r="A6" s="7">
        <v>1</v>
      </c>
      <c r="B6" s="14" t="s">
        <v>44</v>
      </c>
      <c r="C6" s="207">
        <v>1759.330239135087</v>
      </c>
      <c r="D6" s="207">
        <v>211.11962869621044</v>
      </c>
    </row>
    <row r="7" spans="1:4" ht="19.5" customHeight="1">
      <c r="A7" s="7" t="s">
        <v>45</v>
      </c>
      <c r="B7" s="14" t="s">
        <v>46</v>
      </c>
      <c r="C7" s="207">
        <v>1327.6042838198466</v>
      </c>
      <c r="D7" s="207">
        <v>159.3125140583816</v>
      </c>
    </row>
    <row r="8" spans="1:4" ht="18" customHeight="1">
      <c r="A8" s="17" t="s">
        <v>47</v>
      </c>
      <c r="B8" s="18" t="s">
        <v>48</v>
      </c>
      <c r="C8" s="208">
        <v>1252.294783577165</v>
      </c>
      <c r="D8" s="208">
        <v>150.27537402925978</v>
      </c>
    </row>
    <row r="9" spans="1:4" ht="16.5" customHeight="1">
      <c r="A9" s="17" t="s">
        <v>49</v>
      </c>
      <c r="B9" s="18" t="s">
        <v>50</v>
      </c>
      <c r="C9" s="208">
        <v>69.07261788258454</v>
      </c>
      <c r="D9" s="208">
        <v>8.288714145910145</v>
      </c>
    </row>
    <row r="10" spans="1:4" ht="33.75" customHeight="1">
      <c r="A10" s="17" t="s">
        <v>51</v>
      </c>
      <c r="B10" s="18" t="s">
        <v>57</v>
      </c>
      <c r="C10" s="208">
        <v>4.058209884647395</v>
      </c>
      <c r="D10" s="208">
        <v>0.4869851861576874</v>
      </c>
    </row>
    <row r="11" spans="1:4" ht="22.5" customHeight="1">
      <c r="A11" s="17" t="s">
        <v>53</v>
      </c>
      <c r="B11" s="18" t="s">
        <v>77</v>
      </c>
      <c r="C11" s="208">
        <v>2.1786724754497815</v>
      </c>
      <c r="D11" s="208">
        <v>0.26144069705397377</v>
      </c>
    </row>
    <row r="12" spans="1:4" ht="34.5" customHeight="1">
      <c r="A12" s="7" t="s">
        <v>58</v>
      </c>
      <c r="B12" s="14" t="s">
        <v>59</v>
      </c>
      <c r="C12" s="207">
        <v>185.36012271342497</v>
      </c>
      <c r="D12" s="208">
        <v>22.243214725610997</v>
      </c>
    </row>
    <row r="13" spans="1:4" ht="25.5" customHeight="1">
      <c r="A13" s="27" t="s">
        <v>60</v>
      </c>
      <c r="B13" s="14" t="s">
        <v>61</v>
      </c>
      <c r="C13" s="207">
        <v>2.307468831189167</v>
      </c>
      <c r="D13" s="208">
        <v>0.2768962597427</v>
      </c>
    </row>
    <row r="14" spans="1:4" ht="19.5" customHeight="1">
      <c r="A14" s="27" t="s">
        <v>63</v>
      </c>
      <c r="B14" s="14" t="s">
        <v>62</v>
      </c>
      <c r="C14" s="207">
        <v>173.96261009409673</v>
      </c>
      <c r="D14" s="208">
        <v>20.875513211291608</v>
      </c>
    </row>
    <row r="15" spans="1:4" ht="27" customHeight="1">
      <c r="A15" s="31" t="s">
        <v>81</v>
      </c>
      <c r="B15" s="14" t="s">
        <v>64</v>
      </c>
      <c r="C15" s="207">
        <v>70.09575367652938</v>
      </c>
      <c r="D15" s="208">
        <v>8.411490441183526</v>
      </c>
    </row>
    <row r="16" spans="1:4" ht="35.25" customHeight="1">
      <c r="A16" s="17" t="s">
        <v>78</v>
      </c>
      <c r="B16" s="18" t="s">
        <v>65</v>
      </c>
      <c r="C16" s="208">
        <v>21.115948712973406</v>
      </c>
      <c r="D16" s="208">
        <v>2.5339138455568087</v>
      </c>
    </row>
    <row r="17" spans="1:4" ht="24" customHeight="1">
      <c r="A17" s="17" t="s">
        <v>79</v>
      </c>
      <c r="B17" s="18" t="s">
        <v>66</v>
      </c>
      <c r="C17" s="208">
        <v>48.97980496355598</v>
      </c>
      <c r="D17" s="208">
        <v>5.877576595626717</v>
      </c>
    </row>
    <row r="18" spans="1:4" ht="23.25" customHeight="1">
      <c r="A18" s="7" t="s">
        <v>67</v>
      </c>
      <c r="B18" s="14" t="s">
        <v>68</v>
      </c>
      <c r="C18" s="207">
        <v>127.76730593450714</v>
      </c>
      <c r="D18" s="208">
        <v>15.332076712140855</v>
      </c>
    </row>
    <row r="19" spans="1:4" ht="33" customHeight="1">
      <c r="A19" s="17" t="s">
        <v>69</v>
      </c>
      <c r="B19" s="18" t="s">
        <v>65</v>
      </c>
      <c r="C19" s="208">
        <v>94.54323465390587</v>
      </c>
      <c r="D19" s="208">
        <v>11.345188158468703</v>
      </c>
    </row>
    <row r="20" spans="1:4" ht="21.75" customHeight="1">
      <c r="A20" s="17" t="s">
        <v>70</v>
      </c>
      <c r="B20" s="18" t="s">
        <v>66</v>
      </c>
      <c r="C20" s="208">
        <v>33.22</v>
      </c>
      <c r="D20" s="208">
        <v>3.99</v>
      </c>
    </row>
    <row r="21" spans="1:4" ht="26.25" customHeight="1">
      <c r="A21" s="7">
        <v>3</v>
      </c>
      <c r="B21" s="14" t="s">
        <v>38</v>
      </c>
      <c r="C21" s="207">
        <v>0</v>
      </c>
      <c r="D21" s="208">
        <v>0</v>
      </c>
    </row>
    <row r="22" spans="1:4" ht="19.5" customHeight="1">
      <c r="A22" s="7">
        <v>4</v>
      </c>
      <c r="B22" s="14" t="s">
        <v>71</v>
      </c>
      <c r="C22" s="207">
        <v>0</v>
      </c>
      <c r="D22" s="208">
        <v>0</v>
      </c>
    </row>
    <row r="23" spans="1:4" ht="20.25" customHeight="1">
      <c r="A23" s="7">
        <v>5</v>
      </c>
      <c r="B23" s="14" t="s">
        <v>72</v>
      </c>
      <c r="C23" s="207">
        <v>1887.0975450695942</v>
      </c>
      <c r="D23" s="207">
        <v>226.4517054083513</v>
      </c>
    </row>
    <row r="24" spans="1:4" ht="21.75" customHeight="1">
      <c r="A24" s="7">
        <v>6</v>
      </c>
      <c r="B24" s="23" t="s">
        <v>80</v>
      </c>
      <c r="C24" s="207">
        <v>113.3534572718857</v>
      </c>
      <c r="D24" s="208">
        <v>13.602414872626284</v>
      </c>
    </row>
    <row r="25" spans="1:4" ht="33.75" customHeight="1">
      <c r="A25" s="7">
        <v>7</v>
      </c>
      <c r="B25" s="14" t="s">
        <v>73</v>
      </c>
      <c r="C25" s="207">
        <v>2000.4510023414798</v>
      </c>
      <c r="D25" s="207">
        <v>240.0541202809776</v>
      </c>
    </row>
    <row r="26" spans="1:4" ht="22.5" customHeight="1">
      <c r="A26" s="7">
        <v>8</v>
      </c>
      <c r="B26" s="14" t="s">
        <v>207</v>
      </c>
      <c r="C26" s="207">
        <v>2400.5412028097758</v>
      </c>
      <c r="D26" s="207">
        <v>288.06494433717313</v>
      </c>
    </row>
    <row r="27" spans="1:4" ht="57" customHeight="1">
      <c r="A27" s="7">
        <v>9</v>
      </c>
      <c r="B27" s="14" t="s">
        <v>210</v>
      </c>
      <c r="C27" s="209" t="s">
        <v>37</v>
      </c>
      <c r="D27" s="209">
        <v>53.44433104585773</v>
      </c>
    </row>
    <row r="28" spans="1:4" ht="33" customHeight="1">
      <c r="A28" s="206">
        <v>10</v>
      </c>
      <c r="B28" s="18" t="s">
        <v>208</v>
      </c>
      <c r="C28" s="209" t="s">
        <v>37</v>
      </c>
      <c r="D28" s="210">
        <v>163</v>
      </c>
    </row>
    <row r="29" spans="1:4" ht="33" customHeight="1">
      <c r="A29" s="206">
        <v>11</v>
      </c>
      <c r="B29" s="18" t="s">
        <v>209</v>
      </c>
      <c r="C29" s="209" t="s">
        <v>37</v>
      </c>
      <c r="D29" s="211">
        <v>5.39</v>
      </c>
    </row>
    <row r="30" spans="1:4" ht="71.25" customHeight="1">
      <c r="A30" s="206">
        <v>12</v>
      </c>
      <c r="B30" s="18" t="s">
        <v>204</v>
      </c>
      <c r="C30" s="209" t="s">
        <v>37</v>
      </c>
      <c r="D30" s="212">
        <v>0.12</v>
      </c>
    </row>
    <row r="32" spans="1:4" ht="16.5" customHeight="1">
      <c r="A32" s="307"/>
      <c r="B32" s="307"/>
      <c r="C32" s="307"/>
      <c r="D32" s="260"/>
    </row>
    <row r="33" spans="1:4" ht="17.25">
      <c r="A33" s="261"/>
      <c r="B33" s="261"/>
      <c r="C33" s="248" t="s">
        <v>233</v>
      </c>
      <c r="D33" s="261"/>
    </row>
    <row r="34" spans="1:4" ht="16.5">
      <c r="A34" s="307"/>
      <c r="B34" s="307"/>
      <c r="C34" s="262"/>
      <c r="D34" s="260"/>
    </row>
  </sheetData>
  <sheetProtection/>
  <mergeCells count="5">
    <mergeCell ref="A34:B34"/>
    <mergeCell ref="A2:D2"/>
    <mergeCell ref="A3:A4"/>
    <mergeCell ref="B3:B4"/>
    <mergeCell ref="A32:C32"/>
  </mergeCells>
  <conditionalFormatting sqref="C6:D27">
    <cfRule type="containsText" priority="7" dxfId="6" operator="containsText" stopIfTrue="1" text="Додаток2">
      <formula>NOT(ISERROR(SEARCH("Додаток2",C6)))</formula>
    </cfRule>
    <cfRule type="containsText" priority="8" dxfId="6" operator="containsText" stopIfTrue="1" text="Додаток2">
      <formula>NOT(ISERROR(SEARCH("Додаток2",C6)))</formula>
    </cfRule>
  </conditionalFormatting>
  <printOptions/>
  <pageMargins left="1.1811023622047245" right="0.3937007874015748" top="0.3937007874015748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1" sqref="D21"/>
    </sheetView>
  </sheetViews>
  <sheetFormatPr defaultColWidth="46.7109375" defaultRowHeight="15" outlineLevelCol="1"/>
  <cols>
    <col min="1" max="1" width="6.140625" style="33" customWidth="1"/>
    <col min="2" max="2" width="49.57421875" style="34" customWidth="1"/>
    <col min="3" max="3" width="23.8515625" style="42" customWidth="1"/>
    <col min="4" max="4" width="22.140625" style="34" customWidth="1"/>
    <col min="5" max="5" width="18.8515625" style="34" hidden="1" customWidth="1" outlineLevel="1"/>
    <col min="6" max="6" width="10.7109375" style="35" customWidth="1" collapsed="1"/>
    <col min="7" max="247" width="9.140625" style="34" customWidth="1"/>
    <col min="248" max="16384" width="46.7109375" style="34" customWidth="1"/>
  </cols>
  <sheetData>
    <row r="1" spans="3:4" ht="15.75">
      <c r="C1" s="263"/>
      <c r="D1" s="247" t="s">
        <v>232</v>
      </c>
    </row>
    <row r="2" spans="1:5" ht="45.75" customHeight="1">
      <c r="A2" s="308" t="s">
        <v>252</v>
      </c>
      <c r="B2" s="308"/>
      <c r="C2" s="308"/>
      <c r="D2" s="308"/>
      <c r="E2" s="308"/>
    </row>
    <row r="3" spans="1:4" ht="16.5" customHeight="1" thickBot="1">
      <c r="A3" s="36"/>
      <c r="B3" s="310"/>
      <c r="C3" s="310"/>
      <c r="D3" s="310"/>
    </row>
    <row r="4" spans="1:5" ht="55.5" customHeight="1">
      <c r="A4" s="193" t="s">
        <v>82</v>
      </c>
      <c r="B4" s="194" t="s">
        <v>83</v>
      </c>
      <c r="C4" s="200" t="s">
        <v>185</v>
      </c>
      <c r="D4" s="200" t="s">
        <v>214</v>
      </c>
      <c r="E4" s="200" t="s">
        <v>230</v>
      </c>
    </row>
    <row r="5" spans="1:5" ht="15">
      <c r="A5" s="37">
        <v>1</v>
      </c>
      <c r="B5" s="38">
        <v>2</v>
      </c>
      <c r="C5" s="201">
        <v>3</v>
      </c>
      <c r="D5" s="201">
        <v>4</v>
      </c>
      <c r="E5" s="201">
        <v>5</v>
      </c>
    </row>
    <row r="6" spans="1:6" s="47" customFormat="1" ht="37.5">
      <c r="A6" s="45">
        <v>1</v>
      </c>
      <c r="B6" s="46" t="s">
        <v>86</v>
      </c>
      <c r="C6" s="202">
        <f>SUM(C7:C15)</f>
        <v>422976.27937419363</v>
      </c>
      <c r="D6" s="202">
        <f>SUM(D7:D15)</f>
        <v>35248.023281182795</v>
      </c>
      <c r="E6" s="202">
        <f>SUM(E7:E15)</f>
        <v>84595.25587483871</v>
      </c>
      <c r="F6" s="264"/>
    </row>
    <row r="7" spans="1:5" ht="24" customHeight="1">
      <c r="A7" s="39" t="s">
        <v>186</v>
      </c>
      <c r="B7" s="40" t="s">
        <v>190</v>
      </c>
      <c r="C7" s="203">
        <f>'[10]Собівартість'!J23</f>
        <v>313024.9912903226</v>
      </c>
      <c r="D7" s="203">
        <f>C7/12</f>
        <v>26085.415940860217</v>
      </c>
      <c r="E7" s="203">
        <f aca="true" t="shared" si="0" ref="E7:E15">C7/5</f>
        <v>62604.99825806452</v>
      </c>
    </row>
    <row r="8" spans="1:5" ht="18.75">
      <c r="A8" s="44" t="s">
        <v>187</v>
      </c>
      <c r="B8" s="40" t="s">
        <v>234</v>
      </c>
      <c r="C8" s="203">
        <f>'[10]Собівартість'!J24</f>
        <v>68865.49808387097</v>
      </c>
      <c r="D8" s="203">
        <f>C8/12</f>
        <v>5738.791506989248</v>
      </c>
      <c r="E8" s="203">
        <f t="shared" si="0"/>
        <v>13773.099616774194</v>
      </c>
    </row>
    <row r="9" spans="1:5" ht="18.75">
      <c r="A9" s="44" t="s">
        <v>188</v>
      </c>
      <c r="B9" s="40" t="s">
        <v>61</v>
      </c>
      <c r="C9" s="203">
        <f>'[10]Собівартість'!J21</f>
        <v>2343.84</v>
      </c>
      <c r="D9" s="203">
        <f aca="true" t="shared" si="1" ref="D9:D15">C9/12</f>
        <v>195.32000000000002</v>
      </c>
      <c r="E9" s="203">
        <f t="shared" si="0"/>
        <v>468.76800000000003</v>
      </c>
    </row>
    <row r="10" spans="1:5" ht="24" customHeight="1">
      <c r="A10" s="39" t="s">
        <v>189</v>
      </c>
      <c r="B10" s="40" t="s">
        <v>191</v>
      </c>
      <c r="C10" s="203">
        <f>'[10]Собівартість'!J20</f>
        <v>3114.3</v>
      </c>
      <c r="D10" s="203">
        <f t="shared" si="1"/>
        <v>259.52500000000003</v>
      </c>
      <c r="E10" s="203">
        <f t="shared" si="0"/>
        <v>622.86</v>
      </c>
    </row>
    <row r="11" spans="1:5" ht="24" customHeight="1">
      <c r="A11" s="39" t="s">
        <v>81</v>
      </c>
      <c r="B11" s="40" t="s">
        <v>192</v>
      </c>
      <c r="C11" s="203">
        <f>'[10]Собівартість'!J37</f>
        <v>982</v>
      </c>
      <c r="D11" s="203">
        <f t="shared" si="1"/>
        <v>81.83333333333333</v>
      </c>
      <c r="E11" s="203">
        <f t="shared" si="0"/>
        <v>196.4</v>
      </c>
    </row>
    <row r="12" spans="1:5" ht="24" customHeight="1">
      <c r="A12" s="39" t="s">
        <v>197</v>
      </c>
      <c r="B12" s="40" t="s">
        <v>193</v>
      </c>
      <c r="C12" s="203">
        <f>'[10]Собівартість'!J45</f>
        <v>15429.57</v>
      </c>
      <c r="D12" s="203">
        <f t="shared" si="1"/>
        <v>1285.7975</v>
      </c>
      <c r="E12" s="203">
        <f t="shared" si="0"/>
        <v>3085.9139999999998</v>
      </c>
    </row>
    <row r="13" spans="1:5" ht="24" customHeight="1">
      <c r="A13" s="39" t="s">
        <v>198</v>
      </c>
      <c r="B13" s="40" t="s">
        <v>194</v>
      </c>
      <c r="C13" s="203">
        <f>'[10]Собівартість'!J46</f>
        <v>9000</v>
      </c>
      <c r="D13" s="203">
        <f t="shared" si="1"/>
        <v>750</v>
      </c>
      <c r="E13" s="203">
        <f t="shared" si="0"/>
        <v>1800</v>
      </c>
    </row>
    <row r="14" spans="1:5" ht="24" customHeight="1">
      <c r="A14" s="39" t="s">
        <v>199</v>
      </c>
      <c r="B14" s="40" t="s">
        <v>195</v>
      </c>
      <c r="C14" s="203">
        <f>'[10]Собівартість'!J48</f>
        <v>9106.08</v>
      </c>
      <c r="D14" s="203">
        <f t="shared" si="1"/>
        <v>758.84</v>
      </c>
      <c r="E14" s="203">
        <f t="shared" si="0"/>
        <v>1821.216</v>
      </c>
    </row>
    <row r="15" spans="1:5" ht="24" customHeight="1">
      <c r="A15" s="39" t="s">
        <v>200</v>
      </c>
      <c r="B15" s="40" t="s">
        <v>196</v>
      </c>
      <c r="C15" s="203">
        <f>'[10]Собівартість'!J49</f>
        <v>1110</v>
      </c>
      <c r="D15" s="203">
        <f t="shared" si="1"/>
        <v>92.5</v>
      </c>
      <c r="E15" s="203">
        <f t="shared" si="0"/>
        <v>222</v>
      </c>
    </row>
    <row r="16" spans="1:6" s="47" customFormat="1" ht="25.5" customHeight="1">
      <c r="A16" s="45">
        <v>2</v>
      </c>
      <c r="B16" s="46" t="s">
        <v>76</v>
      </c>
      <c r="C16" s="202">
        <f>C6</f>
        <v>422976.27937419363</v>
      </c>
      <c r="D16" s="202">
        <f>C16/12</f>
        <v>35248.0232811828</v>
      </c>
      <c r="E16" s="202">
        <f>C16/5</f>
        <v>84595.25587483872</v>
      </c>
      <c r="F16" s="264"/>
    </row>
    <row r="17" spans="1:6" s="47" customFormat="1" ht="25.5" customHeight="1">
      <c r="A17" s="45">
        <v>3</v>
      </c>
      <c r="B17" s="46" t="s">
        <v>80</v>
      </c>
      <c r="C17" s="202">
        <v>0</v>
      </c>
      <c r="D17" s="202">
        <v>0</v>
      </c>
      <c r="E17" s="202">
        <v>0</v>
      </c>
      <c r="F17" s="264"/>
    </row>
    <row r="18" spans="1:6" s="47" customFormat="1" ht="29.25" customHeight="1">
      <c r="A18" s="45">
        <v>4</v>
      </c>
      <c r="B18" s="46" t="s">
        <v>201</v>
      </c>
      <c r="C18" s="202">
        <f>C16/C21</f>
        <v>170.69260668853659</v>
      </c>
      <c r="D18" s="202">
        <f>D16/D21</f>
        <v>14.224383890711382</v>
      </c>
      <c r="E18" s="202">
        <f>E16/E21</f>
        <v>34.13852133770732</v>
      </c>
      <c r="F18" s="265"/>
    </row>
    <row r="19" spans="1:5" ht="24" customHeight="1">
      <c r="A19" s="39">
        <v>5</v>
      </c>
      <c r="B19" s="40" t="s">
        <v>85</v>
      </c>
      <c r="C19" s="203">
        <f>C18*0.2</f>
        <v>34.13852133770732</v>
      </c>
      <c r="D19" s="203">
        <f>D18*0.2</f>
        <v>2.8448767781422766</v>
      </c>
      <c r="E19" s="203">
        <f>E18*0.2</f>
        <v>6.827704267541463</v>
      </c>
    </row>
    <row r="20" spans="1:6" s="47" customFormat="1" ht="41.25" customHeight="1">
      <c r="A20" s="45">
        <v>6</v>
      </c>
      <c r="B20" s="46" t="s">
        <v>202</v>
      </c>
      <c r="C20" s="202">
        <f>C18+C19</f>
        <v>204.8311280262439</v>
      </c>
      <c r="D20" s="202">
        <f>D18+D19</f>
        <v>17.06926066885366</v>
      </c>
      <c r="E20" s="202">
        <f>E18+E19</f>
        <v>40.96622560524878</v>
      </c>
      <c r="F20" s="266"/>
    </row>
    <row r="21" spans="1:6" s="47" customFormat="1" ht="24" customHeight="1" thickBot="1">
      <c r="A21" s="41">
        <v>7</v>
      </c>
      <c r="B21" s="216" t="s">
        <v>203</v>
      </c>
      <c r="C21" s="217">
        <v>2478</v>
      </c>
      <c r="D21" s="217">
        <v>2478</v>
      </c>
      <c r="E21" s="217">
        <v>2478</v>
      </c>
      <c r="F21" s="264"/>
    </row>
    <row r="22" spans="1:6" s="47" customFormat="1" ht="24" customHeight="1">
      <c r="A22" s="267"/>
      <c r="B22" s="268"/>
      <c r="C22" s="269"/>
      <c r="D22" s="269"/>
      <c r="E22" s="269"/>
      <c r="F22" s="264"/>
    </row>
    <row r="23" spans="1:6" s="47" customFormat="1" ht="24" customHeight="1">
      <c r="A23" s="267"/>
      <c r="B23" s="268"/>
      <c r="C23" s="269"/>
      <c r="D23" s="269"/>
      <c r="E23" s="269"/>
      <c r="F23" s="264"/>
    </row>
    <row r="24" spans="1:6" s="47" customFormat="1" ht="24" customHeight="1">
      <c r="A24" s="267"/>
      <c r="B24" s="311" t="s">
        <v>233</v>
      </c>
      <c r="C24" s="311"/>
      <c r="D24" s="311"/>
      <c r="E24" s="269"/>
      <c r="F24" s="264"/>
    </row>
    <row r="25" spans="1:5" ht="22.5" customHeight="1">
      <c r="A25" s="307"/>
      <c r="B25" s="307"/>
      <c r="C25" s="262"/>
      <c r="E25" s="260" t="s">
        <v>162</v>
      </c>
    </row>
    <row r="26" spans="2:5" ht="15">
      <c r="B26" s="35"/>
      <c r="C26" s="36"/>
      <c r="D26" s="35"/>
      <c r="E26" s="35"/>
    </row>
    <row r="27" spans="2:4" ht="30" customHeight="1">
      <c r="B27" s="309"/>
      <c r="C27" s="309"/>
      <c r="D27" s="309"/>
    </row>
    <row r="31" spans="1:4" ht="18.75">
      <c r="A31" s="34"/>
      <c r="C31" s="34"/>
      <c r="D31" s="43"/>
    </row>
  </sheetData>
  <sheetProtection/>
  <mergeCells count="5">
    <mergeCell ref="A25:B25"/>
    <mergeCell ref="B27:D27"/>
    <mergeCell ref="A2:E2"/>
    <mergeCell ref="B3:D3"/>
    <mergeCell ref="B24:D24"/>
  </mergeCells>
  <printOptions/>
  <pageMargins left="0.7874015748031497" right="0.1968503937007874" top="0.3937007874015748" bottom="0.1968503937007874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8" sqref="I8"/>
    </sheetView>
  </sheetViews>
  <sheetFormatPr defaultColWidth="9.140625" defaultRowHeight="15"/>
  <sheetData>
    <row r="1" spans="1:9" ht="93.75" customHeight="1">
      <c r="A1" s="314" t="s">
        <v>220</v>
      </c>
      <c r="B1" s="314"/>
      <c r="C1" s="314"/>
      <c r="D1" s="314"/>
      <c r="E1" s="314"/>
      <c r="F1" s="314"/>
      <c r="G1" s="314"/>
      <c r="H1" s="314"/>
      <c r="I1" s="314"/>
    </row>
    <row r="2" spans="1:9" ht="15.7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20.25">
      <c r="A3" s="313" t="s">
        <v>219</v>
      </c>
      <c r="B3" s="313"/>
      <c r="C3" s="313"/>
      <c r="D3" s="313"/>
      <c r="E3" s="313"/>
      <c r="F3" s="313"/>
      <c r="G3" s="313"/>
      <c r="H3" s="313"/>
      <c r="I3" s="313"/>
    </row>
    <row r="4" ht="16.5" customHeight="1"/>
    <row r="5" spans="1:9" ht="46.5" customHeight="1">
      <c r="A5" s="312" t="s">
        <v>221</v>
      </c>
      <c r="B5" s="312"/>
      <c r="C5" s="312"/>
      <c r="D5" s="312"/>
      <c r="E5" s="312"/>
      <c r="F5" s="312"/>
      <c r="G5" s="312"/>
      <c r="H5" s="312"/>
      <c r="I5" s="220">
        <f>I6*I7*I8*I9*I11</f>
        <v>31.147308000000002</v>
      </c>
    </row>
    <row r="6" spans="1:9" ht="35.25" customHeight="1">
      <c r="A6" s="312" t="s">
        <v>222</v>
      </c>
      <c r="B6" s="312"/>
      <c r="C6" s="312"/>
      <c r="D6" s="312"/>
      <c r="E6" s="312"/>
      <c r="F6" s="312"/>
      <c r="G6" s="312"/>
      <c r="H6" s="312"/>
      <c r="I6" s="218">
        <v>2118</v>
      </c>
    </row>
    <row r="7" spans="1:9" ht="33" customHeight="1">
      <c r="A7" s="312" t="s">
        <v>223</v>
      </c>
      <c r="B7" s="312"/>
      <c r="C7" s="312"/>
      <c r="D7" s="312"/>
      <c r="E7" s="312"/>
      <c r="F7" s="312"/>
      <c r="G7" s="312"/>
      <c r="H7" s="312"/>
      <c r="I7" s="218">
        <v>2.58</v>
      </c>
    </row>
    <row r="8" spans="1:9" ht="51.75" customHeight="1">
      <c r="A8" s="312" t="s">
        <v>224</v>
      </c>
      <c r="B8" s="312"/>
      <c r="C8" s="312"/>
      <c r="D8" s="312"/>
      <c r="E8" s="312"/>
      <c r="F8" s="312"/>
      <c r="G8" s="312"/>
      <c r="H8" s="312"/>
      <c r="I8" s="218">
        <v>2</v>
      </c>
    </row>
    <row r="9" spans="1:9" ht="45" customHeight="1">
      <c r="A9" s="312" t="s">
        <v>225</v>
      </c>
      <c r="B9" s="312"/>
      <c r="C9" s="312"/>
      <c r="D9" s="312"/>
      <c r="E9" s="312"/>
      <c r="F9" s="312"/>
      <c r="G9" s="312"/>
      <c r="H9" s="312"/>
      <c r="I9" s="218">
        <v>0.15</v>
      </c>
    </row>
    <row r="10" spans="1:9" ht="67.5" customHeight="1">
      <c r="A10" s="312" t="s">
        <v>226</v>
      </c>
      <c r="B10" s="312"/>
      <c r="C10" s="312"/>
      <c r="D10" s="312"/>
      <c r="E10" s="312"/>
      <c r="F10" s="312"/>
      <c r="G10" s="312"/>
      <c r="H10" s="312"/>
      <c r="I10" s="219"/>
    </row>
    <row r="11" spans="1:9" ht="15.75">
      <c r="A11" s="312" t="s">
        <v>218</v>
      </c>
      <c r="B11" s="312"/>
      <c r="C11" s="312"/>
      <c r="D11" s="312"/>
      <c r="E11" s="312"/>
      <c r="F11" s="312"/>
      <c r="G11" s="312"/>
      <c r="H11" s="312"/>
      <c r="I11" s="218">
        <v>0.019</v>
      </c>
    </row>
    <row r="13" spans="1:9" ht="15.75">
      <c r="A13" s="1" t="s">
        <v>229</v>
      </c>
      <c r="B13" s="1"/>
      <c r="C13" s="1"/>
      <c r="D13" s="1"/>
      <c r="E13" s="1"/>
      <c r="F13" s="1"/>
      <c r="G13" s="1"/>
      <c r="H13" s="1"/>
      <c r="I13" s="1"/>
    </row>
    <row r="16" spans="1:9" ht="18.75">
      <c r="A16" s="245" t="s">
        <v>88</v>
      </c>
      <c r="B16" s="245"/>
      <c r="C16" s="245"/>
      <c r="D16" s="245"/>
      <c r="E16" s="245"/>
      <c r="F16" s="245"/>
      <c r="G16" s="246"/>
      <c r="H16" s="245" t="s">
        <v>227</v>
      </c>
      <c r="I16" s="245"/>
    </row>
  </sheetData>
  <sheetProtection/>
  <mergeCells count="9">
    <mergeCell ref="A9:H9"/>
    <mergeCell ref="A10:H10"/>
    <mergeCell ref="A11:H11"/>
    <mergeCell ref="A3:I3"/>
    <mergeCell ref="A1:I1"/>
    <mergeCell ref="A5:H5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user</cp:lastModifiedBy>
  <cp:lastPrinted>2021-09-30T12:49:24Z</cp:lastPrinted>
  <dcterms:created xsi:type="dcterms:W3CDTF">2017-09-06T12:06:25Z</dcterms:created>
  <dcterms:modified xsi:type="dcterms:W3CDTF">2021-10-14T13:28:42Z</dcterms:modified>
  <cp:category/>
  <cp:version/>
  <cp:contentType/>
  <cp:contentStatus/>
</cp:coreProperties>
</file>